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13_ncr:11_{4A5F85E7-AACC-4FD7-B9C1-EDD50BEE95EB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RI Calendar_CREP-SC 2024" sheetId="16" r:id="rId1"/>
  </sheets>
  <externalReferences>
    <externalReference r:id="rId2"/>
  </externalReferences>
  <definedNames>
    <definedName name="AprSun1">DATE(CalendarYear,4,1)-WEEKDAY(DATE(CalendarYear,4,1))</definedName>
    <definedName name="AugSun1">DATE(CalendarYear,8,1)-WEEKDAY(DATE(CalendarYear,8,1))</definedName>
    <definedName name="CalendarYear">'RI Calendar_CREP-SC 2024'!$AC$1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ew">'[1]Shift Pattern'!#REF!</definedName>
    <definedName name="NovSun1">DATE(CalendarYear,11,1)-WEEKDAY(DATE(CalendarYear,11,1))</definedName>
    <definedName name="OctSun1">DATE(CalendarYear,10,1)-WEEKDAY(DATE(CalendarYear,10,1))</definedName>
    <definedName name="Pattern_Start">#REF!</definedName>
    <definedName name="_xlnm.Print_Area" localSheetId="0">'RI Calendar_CREP-SC 2024'!$B$1:$AF$38</definedName>
    <definedName name="Range_Days">'RI Calendar_CREP-SC 2024'!$B$7:$H$11,'RI Calendar_CREP-SC 2024'!$J$7:$P$11,'RI Calendar_CREP-SC 2024'!$R$7:$X$11,'RI Calendar_CREP-SC 2024'!$Z$7:$AF$11,'RI Calendar_CREP-SC 2024'!$B$16:$H$20,'RI Calendar_CREP-SC 2024'!$J$16:$P$20,'RI Calendar_CREP-SC 2024'!$R$16:$X$20,'RI Calendar_CREP-SC 2024'!$Z$16:$AF$20,'RI Calendar_CREP-SC 2024'!$B$24:$H$28,'RI Calendar_CREP-SC 2024'!$J$24:$P$28,'RI Calendar_CREP-SC 2024'!$R$24:$X$28,'RI Calendar_CREP-SC 2024'!$Z$24:$AF$28</definedName>
    <definedName name="SepSun1">DATE(CalendarYear,9,1)-WEEKDAY(DATE(CalendarYear,9,1))</definedName>
    <definedName name="Shift_Pattern">#REF!</definedName>
    <definedName name="Shift1_Code">#REF!</definedName>
    <definedName name="Shift2_Code">#REF!</definedName>
    <definedName name="Shift3_Cod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" i="16" l="1"/>
  <c r="K8" i="16"/>
  <c r="X37" i="16"/>
  <c r="AC33" i="16"/>
  <c r="AB33" i="16"/>
  <c r="AA33" i="16"/>
  <c r="Z33" i="16"/>
  <c r="R33" i="16"/>
  <c r="H7" i="16" l="1"/>
  <c r="C7" i="16"/>
  <c r="AF28" i="16" l="1"/>
  <c r="AE28" i="16"/>
  <c r="AD28" i="16"/>
  <c r="AC28" i="16"/>
  <c r="AB28" i="16"/>
  <c r="AA28" i="16"/>
  <c r="Z28" i="16"/>
  <c r="W28" i="16"/>
  <c r="V28" i="16"/>
  <c r="U28" i="16"/>
  <c r="T28" i="16"/>
  <c r="S28" i="16"/>
  <c r="R28" i="16"/>
  <c r="P28" i="16"/>
  <c r="O28" i="16"/>
  <c r="N28" i="16"/>
  <c r="M28" i="16"/>
  <c r="L28" i="16"/>
  <c r="K28" i="16"/>
  <c r="J28" i="16"/>
  <c r="H28" i="16"/>
  <c r="F28" i="16"/>
  <c r="E28" i="16"/>
  <c r="D28" i="16"/>
  <c r="C28" i="16"/>
  <c r="B28" i="16"/>
  <c r="AF27" i="16"/>
  <c r="AE27" i="16"/>
  <c r="AD27" i="16"/>
  <c r="AC27" i="16"/>
  <c r="AB27" i="16"/>
  <c r="AA27" i="16"/>
  <c r="Z27" i="16"/>
  <c r="X27" i="16"/>
  <c r="W27" i="16"/>
  <c r="V27" i="16"/>
  <c r="U27" i="16"/>
  <c r="T27" i="16"/>
  <c r="S27" i="16"/>
  <c r="R27" i="16"/>
  <c r="P27" i="16"/>
  <c r="O27" i="16"/>
  <c r="N27" i="16"/>
  <c r="M27" i="16"/>
  <c r="L27" i="16"/>
  <c r="K27" i="16"/>
  <c r="J27" i="16"/>
  <c r="H27" i="16"/>
  <c r="F27" i="16"/>
  <c r="E27" i="16"/>
  <c r="D27" i="16"/>
  <c r="C27" i="16"/>
  <c r="B27" i="16"/>
  <c r="AF26" i="16"/>
  <c r="AE26" i="16"/>
  <c r="AD26" i="16"/>
  <c r="AC26" i="16"/>
  <c r="AB26" i="16"/>
  <c r="AA26" i="16"/>
  <c r="Z26" i="16"/>
  <c r="X26" i="16"/>
  <c r="W26" i="16"/>
  <c r="V26" i="16"/>
  <c r="U26" i="16"/>
  <c r="T26" i="16"/>
  <c r="S26" i="16"/>
  <c r="R26" i="16"/>
  <c r="P26" i="16"/>
  <c r="O26" i="16"/>
  <c r="N26" i="16"/>
  <c r="M26" i="16"/>
  <c r="L26" i="16"/>
  <c r="K26" i="16"/>
  <c r="J26" i="16"/>
  <c r="H26" i="16"/>
  <c r="F26" i="16"/>
  <c r="E26" i="16"/>
  <c r="D26" i="16"/>
  <c r="C26" i="16"/>
  <c r="B26" i="16"/>
  <c r="AF25" i="16"/>
  <c r="AE25" i="16"/>
  <c r="AD25" i="16"/>
  <c r="AC25" i="16"/>
  <c r="AB25" i="16"/>
  <c r="AA25" i="16"/>
  <c r="Z25" i="16"/>
  <c r="X25" i="16"/>
  <c r="W25" i="16"/>
  <c r="V25" i="16"/>
  <c r="U25" i="16"/>
  <c r="T25" i="16"/>
  <c r="S25" i="16"/>
  <c r="R25" i="16"/>
  <c r="P25" i="16"/>
  <c r="O25" i="16"/>
  <c r="N25" i="16"/>
  <c r="M25" i="16"/>
  <c r="L25" i="16"/>
  <c r="K25" i="16"/>
  <c r="J25" i="16"/>
  <c r="H25" i="16"/>
  <c r="F25" i="16"/>
  <c r="D25" i="16"/>
  <c r="C25" i="16"/>
  <c r="B25" i="16"/>
  <c r="AF24" i="16"/>
  <c r="AE24" i="16"/>
  <c r="AD24" i="16"/>
  <c r="AC24" i="16"/>
  <c r="AB24" i="16"/>
  <c r="AA24" i="16"/>
  <c r="Z24" i="16"/>
  <c r="X24" i="16"/>
  <c r="W24" i="16"/>
  <c r="V24" i="16"/>
  <c r="U24" i="16"/>
  <c r="T24" i="16"/>
  <c r="S24" i="16"/>
  <c r="R24" i="16"/>
  <c r="P24" i="16"/>
  <c r="O24" i="16"/>
  <c r="N24" i="16"/>
  <c r="M24" i="16"/>
  <c r="L24" i="16"/>
  <c r="K24" i="16"/>
  <c r="J24" i="16"/>
  <c r="H24" i="16"/>
  <c r="F24" i="16"/>
  <c r="E24" i="16"/>
  <c r="D24" i="16"/>
  <c r="C24" i="16"/>
  <c r="B24" i="16"/>
  <c r="AF20" i="16"/>
  <c r="AE20" i="16"/>
  <c r="AD20" i="16"/>
  <c r="AC20" i="16"/>
  <c r="AB20" i="16"/>
  <c r="AA20" i="16"/>
  <c r="Z20" i="16"/>
  <c r="X20" i="16"/>
  <c r="W20" i="16"/>
  <c r="V20" i="16"/>
  <c r="U20" i="16"/>
  <c r="T20" i="16"/>
  <c r="S20" i="16"/>
  <c r="R20" i="16"/>
  <c r="P20" i="16"/>
  <c r="O20" i="16"/>
  <c r="N20" i="16"/>
  <c r="M20" i="16"/>
  <c r="L20" i="16"/>
  <c r="K20" i="16"/>
  <c r="J20" i="16"/>
  <c r="H20" i="16"/>
  <c r="F20" i="16"/>
  <c r="E20" i="16"/>
  <c r="D20" i="16"/>
  <c r="C20" i="16"/>
  <c r="B20" i="16"/>
  <c r="AF19" i="16"/>
  <c r="AE19" i="16"/>
  <c r="AD19" i="16"/>
  <c r="AC19" i="16"/>
  <c r="AB19" i="16"/>
  <c r="AA19" i="16"/>
  <c r="Z19" i="16"/>
  <c r="X19" i="16"/>
  <c r="W19" i="16"/>
  <c r="V19" i="16"/>
  <c r="U19" i="16"/>
  <c r="T19" i="16"/>
  <c r="S19" i="16"/>
  <c r="R19" i="16"/>
  <c r="P19" i="16"/>
  <c r="O19" i="16"/>
  <c r="N19" i="16"/>
  <c r="M19" i="16"/>
  <c r="L19" i="16"/>
  <c r="K19" i="16"/>
  <c r="J19" i="16"/>
  <c r="H19" i="16"/>
  <c r="F19" i="16"/>
  <c r="E19" i="16"/>
  <c r="D19" i="16"/>
  <c r="C19" i="16"/>
  <c r="B19" i="16"/>
  <c r="AF18" i="16"/>
  <c r="AE18" i="16"/>
  <c r="AD18" i="16"/>
  <c r="AC18" i="16"/>
  <c r="AB18" i="16"/>
  <c r="AA18" i="16"/>
  <c r="Z18" i="16"/>
  <c r="X18" i="16"/>
  <c r="W18" i="16"/>
  <c r="V18" i="16"/>
  <c r="U18" i="16"/>
  <c r="T18" i="16"/>
  <c r="S18" i="16"/>
  <c r="R18" i="16"/>
  <c r="P18" i="16"/>
  <c r="O18" i="16"/>
  <c r="N18" i="16"/>
  <c r="M18" i="16"/>
  <c r="L18" i="16"/>
  <c r="K18" i="16"/>
  <c r="J18" i="16"/>
  <c r="H18" i="16"/>
  <c r="F18" i="16"/>
  <c r="D18" i="16"/>
  <c r="C18" i="16"/>
  <c r="B18" i="16"/>
  <c r="AF17" i="16"/>
  <c r="AE17" i="16"/>
  <c r="AD17" i="16"/>
  <c r="AC17" i="16"/>
  <c r="AB17" i="16"/>
  <c r="AA17" i="16"/>
  <c r="Z17" i="16"/>
  <c r="W17" i="16"/>
  <c r="V17" i="16"/>
  <c r="U17" i="16"/>
  <c r="T17" i="16"/>
  <c r="S17" i="16"/>
  <c r="R17" i="16"/>
  <c r="P17" i="16"/>
  <c r="O17" i="16"/>
  <c r="N17" i="16"/>
  <c r="M17" i="16"/>
  <c r="L17" i="16"/>
  <c r="K17" i="16"/>
  <c r="J17" i="16"/>
  <c r="H17" i="16"/>
  <c r="F17" i="16"/>
  <c r="E17" i="16"/>
  <c r="D17" i="16"/>
  <c r="C17" i="16"/>
  <c r="B17" i="16"/>
  <c r="AF16" i="16"/>
  <c r="AE16" i="16"/>
  <c r="AD16" i="16"/>
  <c r="AC16" i="16"/>
  <c r="AB16" i="16"/>
  <c r="AA16" i="16"/>
  <c r="Z16" i="16"/>
  <c r="X16" i="16"/>
  <c r="W16" i="16"/>
  <c r="V16" i="16"/>
  <c r="U16" i="16"/>
  <c r="T16" i="16"/>
  <c r="S16" i="16"/>
  <c r="R16" i="16"/>
  <c r="P16" i="16"/>
  <c r="O16" i="16"/>
  <c r="N16" i="16"/>
  <c r="M16" i="16"/>
  <c r="L16" i="16"/>
  <c r="K16" i="16"/>
  <c r="H16" i="16"/>
  <c r="F16" i="16"/>
  <c r="E16" i="16"/>
  <c r="D16" i="16"/>
  <c r="C16" i="16"/>
  <c r="B16" i="16"/>
  <c r="R7" i="16"/>
  <c r="AF11" i="16"/>
  <c r="AE11" i="16"/>
  <c r="AD11" i="16"/>
  <c r="AC11" i="16"/>
  <c r="AB11" i="16"/>
  <c r="AA11" i="16"/>
  <c r="Z11" i="16"/>
  <c r="X11" i="16"/>
  <c r="W11" i="16"/>
  <c r="V11" i="16"/>
  <c r="U11" i="16"/>
  <c r="T11" i="16"/>
  <c r="S11" i="16"/>
  <c r="R11" i="16"/>
  <c r="AF10" i="16"/>
  <c r="AE10" i="16"/>
  <c r="AD10" i="16"/>
  <c r="AC10" i="16"/>
  <c r="AB10" i="16"/>
  <c r="AA10" i="16"/>
  <c r="Z10" i="16"/>
  <c r="X10" i="16"/>
  <c r="W10" i="16"/>
  <c r="V10" i="16"/>
  <c r="U10" i="16"/>
  <c r="T10" i="16"/>
  <c r="S10" i="16"/>
  <c r="R10" i="16"/>
  <c r="AF9" i="16"/>
  <c r="AE9" i="16"/>
  <c r="AD9" i="16"/>
  <c r="AC9" i="16"/>
  <c r="AB9" i="16"/>
  <c r="Z9" i="16"/>
  <c r="X9" i="16"/>
  <c r="W9" i="16"/>
  <c r="V9" i="16"/>
  <c r="U9" i="16"/>
  <c r="T9" i="16"/>
  <c r="S9" i="16"/>
  <c r="R9" i="16"/>
  <c r="AF8" i="16"/>
  <c r="AE8" i="16"/>
  <c r="AD8" i="16"/>
  <c r="AC8" i="16"/>
  <c r="AB8" i="16"/>
  <c r="AA8" i="16"/>
  <c r="Z8" i="16"/>
  <c r="X8" i="16"/>
  <c r="W8" i="16"/>
  <c r="V8" i="16"/>
  <c r="U8" i="16"/>
  <c r="T8" i="16"/>
  <c r="S8" i="16"/>
  <c r="R8" i="16"/>
  <c r="AF7" i="16"/>
  <c r="AE7" i="16"/>
  <c r="AD7" i="16"/>
  <c r="AC7" i="16"/>
  <c r="AB7" i="16"/>
  <c r="AA7" i="16"/>
  <c r="Z7" i="16"/>
  <c r="X7" i="16"/>
  <c r="W7" i="16"/>
  <c r="V7" i="16"/>
  <c r="U7" i="16"/>
  <c r="T7" i="16"/>
  <c r="S7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J8" i="16"/>
  <c r="P7" i="16"/>
  <c r="O7" i="16"/>
  <c r="N7" i="16"/>
  <c r="M7" i="16"/>
  <c r="L7" i="16"/>
  <c r="K7" i="16"/>
  <c r="J7" i="16"/>
  <c r="H11" i="16" l="1"/>
  <c r="F11" i="16"/>
  <c r="E11" i="16"/>
  <c r="D11" i="16"/>
  <c r="C11" i="16"/>
  <c r="B11" i="16"/>
  <c r="H10" i="16"/>
  <c r="F10" i="16"/>
  <c r="E10" i="16"/>
  <c r="D10" i="16"/>
  <c r="C10" i="16"/>
  <c r="B10" i="16"/>
  <c r="H9" i="16"/>
  <c r="F9" i="16"/>
  <c r="E9" i="16"/>
  <c r="D9" i="16"/>
  <c r="C9" i="16"/>
  <c r="B9" i="16"/>
  <c r="H8" i="16"/>
  <c r="F8" i="16"/>
  <c r="E8" i="16"/>
  <c r="D8" i="16"/>
  <c r="C8" i="16"/>
  <c r="B8" i="16"/>
  <c r="F7" i="16"/>
  <c r="E7" i="16"/>
  <c r="D7" i="16"/>
  <c r="B7" i="16"/>
</calcChain>
</file>

<file path=xl/sharedStrings.xml><?xml version="1.0" encoding="utf-8"?>
<sst xmlns="http://schemas.openxmlformats.org/spreadsheetml/2006/main" count="142" uniqueCount="52">
  <si>
    <t>Su</t>
  </si>
  <si>
    <t>Sa</t>
  </si>
  <si>
    <t>January</t>
  </si>
  <si>
    <t>Mo</t>
  </si>
  <si>
    <t>Tu</t>
  </si>
  <si>
    <t>We</t>
  </si>
  <si>
    <t>Th</t>
  </si>
  <si>
    <t>Fr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</si>
  <si>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</si>
  <si>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</si>
  <si>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</si>
  <si>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</si>
  <si>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</si>
  <si>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</si>
  <si>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</si>
  <si>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</si>
  <si>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</si>
  <si>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</si>
  <si>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</si>
  <si>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RI Calendar</t>
  </si>
  <si>
    <t>Public Holidays</t>
  </si>
  <si>
    <t xml:space="preserve"> Holidays</t>
  </si>
  <si>
    <t>School term</t>
  </si>
  <si>
    <t>2024 Holidays for Australia and Queensland</t>
  </si>
  <si>
    <t xml:space="preserve">LEGEND: </t>
  </si>
  <si>
    <t>January 2025</t>
  </si>
  <si>
    <t>February 2025</t>
  </si>
  <si>
    <t>Fri</t>
  </si>
  <si>
    <t xml:space="preserve"> Local Show Holiday/EKKA Wk</t>
  </si>
  <si>
    <t>199 School Days in 2024</t>
  </si>
  <si>
    <t>Fri 26 Jan Australia Day</t>
  </si>
  <si>
    <t>Mon 1 Jan New Year’s Day</t>
  </si>
  <si>
    <t>Fri 29 March Good Friday</t>
  </si>
  <si>
    <t>Mon 1 Apr Easter Monday</t>
  </si>
  <si>
    <t>Thur 25 April Anzac Day</t>
  </si>
  <si>
    <t xml:space="preserve">Tues 24 Dec Christmas Eve </t>
  </si>
  <si>
    <t>Thurs 26 Dec Boxing Day</t>
  </si>
  <si>
    <t>Wed 25 Dec Christmas Day</t>
  </si>
  <si>
    <t>Fri 31 May Caloundra Show
Fri 14 June Nambour Show</t>
  </si>
  <si>
    <t>Student Free/Staff PD</t>
  </si>
  <si>
    <t>Fan the Flame Training Day
8.30am til 1 pm, Little Mountain</t>
  </si>
  <si>
    <t xml:space="preserve">Ministers' &amp; Coordinators' Breakfast </t>
  </si>
  <si>
    <t>Ministers, Coordinators, 
DPs &amp; CRIAQ breakfast</t>
  </si>
  <si>
    <t xml:space="preserve">AM: CREP Staff Mtgs
PM: open door for RI vols (12-5pm). </t>
  </si>
  <si>
    <t xml:space="preserve">*Fan the Flame Break Up </t>
  </si>
  <si>
    <t>* CREP Office Opens 6th January 2025</t>
  </si>
  <si>
    <t>* No Coordinator meeting this month. 
* CREP Office closes Friday 12th December 2024</t>
  </si>
  <si>
    <r>
      <rPr>
        <i/>
        <sz val="9"/>
        <color theme="1" tint="0.14999847407452621"/>
        <rFont val="Franklin Gothic Book"/>
        <family val="2"/>
        <scheme val="minor"/>
      </rPr>
      <t>* No Coordinator meeting this month</t>
    </r>
    <r>
      <rPr>
        <sz val="9"/>
        <color theme="1" tint="0.14999847407452621"/>
        <rFont val="Franklin Gothic Book"/>
        <family val="2"/>
        <scheme val="minor"/>
      </rPr>
      <t xml:space="preserve"> </t>
    </r>
  </si>
  <si>
    <t>Mon 6 May Q Labour Day</t>
  </si>
  <si>
    <t>Mon 7 Oct Royal Birthday</t>
  </si>
  <si>
    <t>Education Qld notations:</t>
  </si>
  <si>
    <t>RI Coordinator Catch-ups
One Monday/month: 1-2pm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</si>
</sst>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KZT&quot;* #,##0_);_(&quot;KZT&quot;* \(#,##0\);_(&quot;KZT&quot;* &quot;-&quot;_);_(@_)"/>
    <numFmt numFmtId="167" formatCode="_(&quot;KZT&quot;* #,##0.00_);_(&quot;KZT&quot;* \(#,##0.00\);_(&quot;KZT&quot;* &quot;-&quot;??_);_(@_)"/>
    <numFmt numFmtId="168" formatCode="d"/>
  </numFmts>
  <fonts count="61" x14ac:knownFonts="1">
    <font>
      <sz val="12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0" tint="-0.499984740745262"/>
      <name val="Calibri"/>
      <family val="2"/>
    </font>
    <font>
      <u/>
      <sz val="12"/>
      <color theme="10"/>
      <name val="Franklin Gothic Book"/>
      <family val="2"/>
      <scheme val="minor"/>
    </font>
    <font>
      <u/>
      <sz val="12"/>
      <color theme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sz val="12"/>
      <color rgb="FF9C0006"/>
      <name val="Franklin Gothic Book"/>
      <family val="2"/>
      <scheme val="minor"/>
    </font>
    <font>
      <sz val="12"/>
      <color rgb="FF9C5700"/>
      <name val="Franklin Gothic Book"/>
      <family val="2"/>
      <scheme val="minor"/>
    </font>
    <font>
      <sz val="12"/>
      <color rgb="FF3F3F76"/>
      <name val="Franklin Gothic Book"/>
      <family val="2"/>
      <scheme val="minor"/>
    </font>
    <font>
      <b/>
      <sz val="12"/>
      <color rgb="FF3F3F3F"/>
      <name val="Franklin Gothic Book"/>
      <family val="2"/>
      <scheme val="minor"/>
    </font>
    <font>
      <b/>
      <sz val="12"/>
      <color rgb="FFFA7D00"/>
      <name val="Franklin Gothic Book"/>
      <family val="2"/>
      <scheme val="minor"/>
    </font>
    <font>
      <sz val="12"/>
      <color rgb="FFFA7D0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i/>
      <sz val="12"/>
      <color rgb="FF7F7F7F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22"/>
      <color theme="0" tint="-0.499984740745262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22"/>
      <color theme="7" tint="-0.249977111117893"/>
      <name val="Franklin Gothic Medium"/>
      <family val="2"/>
      <scheme val="major"/>
    </font>
    <font>
      <sz val="10"/>
      <color theme="1"/>
      <name val="Franklin Gothic Medium"/>
      <family val="2"/>
      <scheme val="major"/>
    </font>
    <font>
      <sz val="10"/>
      <color theme="0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2"/>
      <color theme="1" tint="0.14999847407452621"/>
      <name val="Franklin Gothic Book"/>
      <family val="2"/>
      <scheme val="minor"/>
    </font>
    <font>
      <sz val="16"/>
      <color theme="7" tint="-0.499984740745262"/>
      <name val="Franklin Gothic Medium"/>
      <family val="2"/>
      <scheme val="major"/>
    </font>
    <font>
      <sz val="40"/>
      <color theme="7" tint="-0.499984740745262"/>
      <name val="Franklin Gothic Medium"/>
      <family val="2"/>
      <scheme val="major"/>
    </font>
    <font>
      <sz val="42"/>
      <color theme="3" tint="-0.499984740745262"/>
      <name val="Franklin Gothic Medium"/>
      <family val="2"/>
      <scheme val="major"/>
    </font>
    <font>
      <b/>
      <sz val="16"/>
      <color theme="7" tint="-0.499984740745262"/>
      <name val="Franklin Gothic Medium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499984740745262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1"/>
      <color theme="1"/>
      <name val="Calibri"/>
      <family val="2"/>
    </font>
    <font>
      <b/>
      <u/>
      <sz val="10"/>
      <color rgb="FFFF0000"/>
      <name val="Calibri"/>
      <family val="2"/>
    </font>
    <font>
      <sz val="7.5"/>
      <color theme="1"/>
      <name val="Cambria"/>
      <family val="1"/>
    </font>
    <font>
      <sz val="7.5"/>
      <color theme="1"/>
      <name val="Calibri"/>
      <family val="2"/>
    </font>
    <font>
      <b/>
      <sz val="7.5"/>
      <color theme="1"/>
      <name val="Calibri"/>
      <family val="2"/>
    </font>
    <font>
      <sz val="7"/>
      <color theme="1"/>
      <name val="Calibri"/>
      <family val="2"/>
    </font>
    <font>
      <u/>
      <sz val="11"/>
      <color theme="0" tint="-0.499984740745262"/>
      <name val="Calibri"/>
      <family val="2"/>
    </font>
    <font>
      <u/>
      <sz val="11"/>
      <color theme="0" tint="-0.499984740745262"/>
      <name val="Franklin Gothic Book"/>
      <family val="2"/>
      <scheme val="minor"/>
    </font>
    <font>
      <sz val="12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</font>
    <font>
      <i/>
      <sz val="12"/>
      <color theme="1" tint="0.14999847407452621"/>
      <name val="Franklin Gothic Book"/>
      <family val="2"/>
      <scheme val="minor"/>
    </font>
    <font>
      <i/>
      <sz val="8"/>
      <color theme="1" tint="0.1499984740745262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i/>
      <sz val="9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i/>
      <sz val="8"/>
      <color theme="1"/>
      <name val="Franklin Gothic Book"/>
      <family val="2"/>
      <scheme val="minor"/>
    </font>
    <font>
      <sz val="8"/>
      <color theme="1" tint="0.14999847407452621"/>
      <name val="Franklin Gothic Book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9204"/>
        <bgColor indexed="64"/>
      </patternFill>
    </fill>
    <fill>
      <patternFill patternType="solid">
        <fgColor theme="7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3" tint="-0.499984740745262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theme="0" tint="-0.249977111117893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auto="1"/>
      </left>
      <right/>
      <top/>
      <bottom/>
      <diagonal/>
    </border>
  </borders>
  <cellStyleXfs count="56">
    <xf numFmtId="0" fontId="0" fillId="0" borderId="0"/>
    <xf numFmtId="0" fontId="23" fillId="33" borderId="1" applyNumberFormat="0">
      <alignment horizontal="center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4" borderId="1" applyNumberFormat="0">
      <alignment horizontal="center" vertical="center"/>
    </xf>
    <xf numFmtId="0" fontId="24" fillId="0" borderId="1" applyNumberFormat="0">
      <alignment horizontal="center" vertical="center"/>
    </xf>
    <xf numFmtId="0" fontId="28" fillId="36" borderId="1">
      <alignment horizontal="center" vertical="center"/>
    </xf>
    <xf numFmtId="0" fontId="23" fillId="35" borderId="1">
      <alignment horizontal="center" vertical="center"/>
    </xf>
    <xf numFmtId="0" fontId="28" fillId="29" borderId="1">
      <alignment horizontal="center" vertical="center"/>
    </xf>
    <xf numFmtId="0" fontId="26" fillId="0" borderId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168" fontId="32" fillId="0" borderId="11" xfId="0" applyNumberFormat="1" applyFont="1" applyBorder="1" applyAlignment="1">
      <alignment horizontal="center" vertical="center"/>
    </xf>
    <xf numFmtId="168" fontId="32" fillId="0" borderId="11" xfId="52" applyNumberFormat="1" applyFont="1" applyFill="1" applyBorder="1">
      <alignment horizontal="center" vertical="center"/>
    </xf>
    <xf numFmtId="168" fontId="32" fillId="0" borderId="11" xfId="51" applyNumberFormat="1" applyFont="1" applyBorder="1">
      <alignment horizontal="center" vertical="center"/>
    </xf>
    <xf numFmtId="168" fontId="32" fillId="0" borderId="1" xfId="53" applyNumberFormat="1" applyFont="1" applyFill="1">
      <alignment horizontal="center" vertical="center"/>
    </xf>
    <xf numFmtId="168" fontId="32" fillId="0" borderId="1" xfId="51" applyNumberFormat="1" applyFont="1">
      <alignment horizontal="center" vertical="center"/>
    </xf>
    <xf numFmtId="168" fontId="32" fillId="0" borderId="1" xfId="52" applyNumberFormat="1" applyFont="1" applyFill="1">
      <alignment horizontal="center" vertical="center"/>
    </xf>
    <xf numFmtId="168" fontId="32" fillId="0" borderId="1" xfId="50" applyNumberFormat="1" applyFont="1" applyFill="1">
      <alignment horizontal="center" vertical="center"/>
    </xf>
    <xf numFmtId="168" fontId="32" fillId="0" borderId="1" xfId="0" applyNumberFormat="1" applyFont="1" applyBorder="1" applyAlignment="1">
      <alignment horizontal="center" vertical="center"/>
    </xf>
    <xf numFmtId="0" fontId="31" fillId="37" borderId="12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/>
    </xf>
    <xf numFmtId="0" fontId="31" fillId="37" borderId="14" xfId="0" applyFont="1" applyFill="1" applyBorder="1" applyAlignment="1">
      <alignment horizontal="center" vertical="center"/>
    </xf>
    <xf numFmtId="0" fontId="33" fillId="0" borderId="0" xfId="0" applyFont="1"/>
    <xf numFmtId="0" fontId="37" fillId="0" borderId="0" xfId="0" applyFont="1" applyAlignment="1">
      <alignment vertical="top"/>
    </xf>
    <xf numFmtId="168" fontId="33" fillId="0" borderId="0" xfId="0" applyNumberFormat="1" applyFont="1"/>
    <xf numFmtId="0" fontId="39" fillId="0" borderId="0" xfId="0" applyFont="1" applyAlignment="1">
      <alignment vertical="center"/>
    </xf>
    <xf numFmtId="49" fontId="34" fillId="0" borderId="0" xfId="0" applyNumberFormat="1" applyFont="1" applyAlignment="1">
      <alignment horizontal="center" vertical="top"/>
    </xf>
    <xf numFmtId="0" fontId="25" fillId="39" borderId="0" xfId="0" applyFont="1" applyFill="1" applyAlignment="1">
      <alignment vertical="center"/>
    </xf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left" vertical="center"/>
    </xf>
    <xf numFmtId="168" fontId="41" fillId="0" borderId="11" xfId="0" applyNumberFormat="1" applyFont="1" applyFill="1" applyBorder="1" applyAlignment="1">
      <alignment horizontal="center" vertical="center"/>
    </xf>
    <xf numFmtId="168" fontId="41" fillId="0" borderId="1" xfId="1" applyNumberFormat="1" applyFont="1" applyFill="1">
      <alignment horizontal="center" vertical="center"/>
    </xf>
    <xf numFmtId="168" fontId="32" fillId="40" borderId="11" xfId="52" applyNumberFormat="1" applyFont="1" applyFill="1" applyBorder="1">
      <alignment horizontal="center" vertical="center"/>
    </xf>
    <xf numFmtId="168" fontId="32" fillId="40" borderId="11" xfId="51" applyNumberFormat="1" applyFont="1" applyFill="1" applyBorder="1">
      <alignment horizontal="center" vertical="center"/>
    </xf>
    <xf numFmtId="168" fontId="32" fillId="40" borderId="1" xfId="53" applyNumberFormat="1" applyFont="1" applyFill="1">
      <alignment horizontal="center" vertical="center"/>
    </xf>
    <xf numFmtId="168" fontId="32" fillId="40" borderId="1" xfId="51" applyNumberFormat="1" applyFont="1" applyFill="1">
      <alignment horizontal="center" vertical="center"/>
    </xf>
    <xf numFmtId="168" fontId="32" fillId="40" borderId="1" xfId="52" applyNumberFormat="1" applyFont="1" applyFill="1">
      <alignment horizontal="center" vertical="center"/>
    </xf>
    <xf numFmtId="0" fontId="38" fillId="40" borderId="15" xfId="0" applyFont="1" applyFill="1" applyBorder="1" applyAlignment="1">
      <alignment horizontal="center" vertical="center"/>
    </xf>
    <xf numFmtId="168" fontId="41" fillId="0" borderId="1" xfId="53" applyNumberFormat="1" applyFont="1" applyFill="1">
      <alignment horizontal="center" vertical="center"/>
    </xf>
    <xf numFmtId="168" fontId="32" fillId="40" borderId="1" xfId="50" applyNumberFormat="1" applyFont="1" applyFill="1">
      <alignment horizontal="center" vertical="center"/>
    </xf>
    <xf numFmtId="168" fontId="32" fillId="40" borderId="1" xfId="1" applyNumberFormat="1" applyFont="1" applyFill="1">
      <alignment horizontal="center" vertical="center"/>
    </xf>
    <xf numFmtId="168" fontId="32" fillId="40" borderId="1" xfId="54" applyNumberFormat="1" applyFont="1" applyFill="1">
      <alignment horizontal="center" vertical="center"/>
    </xf>
    <xf numFmtId="0" fontId="38" fillId="0" borderId="0" xfId="0" applyFont="1" applyBorder="1" applyAlignment="1">
      <alignment horizontal="center" vertical="center"/>
    </xf>
    <xf numFmtId="168" fontId="32" fillId="41" borderId="1" xfId="52" applyNumberFormat="1" applyFont="1" applyFill="1">
      <alignment horizontal="center" vertical="center"/>
    </xf>
    <xf numFmtId="168" fontId="32" fillId="41" borderId="1" xfId="51" applyNumberFormat="1" applyFont="1" applyFill="1">
      <alignment horizontal="center" vertical="center"/>
    </xf>
    <xf numFmtId="168" fontId="32" fillId="41" borderId="1" xfId="1" applyNumberFormat="1" applyFont="1" applyFill="1">
      <alignment horizontal="center" vertical="center"/>
    </xf>
    <xf numFmtId="168" fontId="32" fillId="41" borderId="1" xfId="53" applyNumberFormat="1" applyFont="1" applyFill="1">
      <alignment horizontal="center" vertical="center"/>
    </xf>
    <xf numFmtId="168" fontId="32" fillId="41" borderId="1" xfId="50" applyNumberFormat="1" applyFont="1" applyFill="1">
      <alignment horizontal="center" vertical="center"/>
    </xf>
    <xf numFmtId="168" fontId="32" fillId="41" borderId="11" xfId="52" applyNumberFormat="1" applyFont="1" applyFill="1" applyBorder="1">
      <alignment horizontal="center" vertical="center"/>
    </xf>
    <xf numFmtId="168" fontId="32" fillId="41" borderId="11" xfId="51" applyNumberFormat="1" applyFont="1" applyFill="1" applyBorder="1">
      <alignment horizontal="center" vertical="center"/>
    </xf>
    <xf numFmtId="168" fontId="32" fillId="41" borderId="1" xfId="54" applyNumberFormat="1" applyFont="1" applyFill="1">
      <alignment horizontal="center" vertical="center"/>
    </xf>
    <xf numFmtId="168" fontId="32" fillId="0" borderId="1" xfId="51" applyNumberFormat="1" applyFont="1" applyFill="1">
      <alignment horizontal="center" vertical="center"/>
    </xf>
    <xf numFmtId="168" fontId="32" fillId="41" borderId="1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5" fillId="43" borderId="17" xfId="0" applyFont="1" applyFill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38" fillId="41" borderId="15" xfId="0" applyFont="1" applyFill="1" applyBorder="1" applyAlignment="1">
      <alignment horizontal="center" vertical="center"/>
    </xf>
    <xf numFmtId="168" fontId="32" fillId="39" borderId="1" xfId="51" applyNumberFormat="1" applyFont="1" applyFill="1">
      <alignment horizontal="center" vertical="center"/>
    </xf>
    <xf numFmtId="168" fontId="32" fillId="39" borderId="1" xfId="52" applyNumberFormat="1" applyFont="1" applyFill="1">
      <alignment horizontal="center" vertical="center"/>
    </xf>
    <xf numFmtId="0" fontId="48" fillId="0" borderId="35" xfId="0" applyFont="1" applyBorder="1" applyAlignment="1">
      <alignment vertical="center"/>
    </xf>
    <xf numFmtId="0" fontId="49" fillId="0" borderId="35" xfId="0" applyFont="1" applyBorder="1" applyAlignment="1">
      <alignment vertical="center"/>
    </xf>
    <xf numFmtId="0" fontId="35" fillId="0" borderId="35" xfId="0" applyFont="1" applyBorder="1"/>
    <xf numFmtId="0" fontId="2" fillId="0" borderId="35" xfId="0" applyFont="1" applyBorder="1" applyAlignment="1">
      <alignment vertical="center"/>
    </xf>
    <xf numFmtId="0" fontId="36" fillId="0" borderId="35" xfId="0" applyFont="1" applyBorder="1" applyAlignment="1">
      <alignment horizontal="right" wrapText="1"/>
    </xf>
    <xf numFmtId="168" fontId="41" fillId="0" borderId="1" xfId="0" applyNumberFormat="1" applyFont="1" applyBorder="1" applyAlignment="1">
      <alignment horizontal="center" vertical="center"/>
    </xf>
    <xf numFmtId="168" fontId="41" fillId="0" borderId="1" xfId="0" applyNumberFormat="1" applyFont="1" applyFill="1" applyBorder="1" applyAlignment="1">
      <alignment horizontal="center" vertical="center"/>
    </xf>
    <xf numFmtId="168" fontId="32" fillId="0" borderId="11" xfId="51" applyNumberFormat="1" applyFont="1" applyFill="1" applyBorder="1">
      <alignment horizontal="center" vertical="center"/>
    </xf>
    <xf numFmtId="168" fontId="41" fillId="0" borderId="1" xfId="51" applyNumberFormat="1" applyFont="1" applyFill="1">
      <alignment horizontal="center" vertical="center"/>
    </xf>
    <xf numFmtId="168" fontId="32" fillId="40" borderId="1" xfId="0" applyNumberFormat="1" applyFont="1" applyFill="1" applyBorder="1" applyAlignment="1">
      <alignment horizontal="center" vertical="center"/>
    </xf>
    <xf numFmtId="168" fontId="32" fillId="39" borderId="1" xfId="0" applyNumberFormat="1" applyFont="1" applyFill="1" applyBorder="1" applyAlignment="1">
      <alignment horizontal="center" vertical="center"/>
    </xf>
    <xf numFmtId="168" fontId="32" fillId="41" borderId="11" xfId="0" applyNumberFormat="1" applyFont="1" applyFill="1" applyBorder="1" applyAlignment="1">
      <alignment horizontal="center" vertical="center"/>
    </xf>
    <xf numFmtId="168" fontId="41" fillId="40" borderId="1" xfId="52" applyNumberFormat="1" applyFont="1" applyFill="1">
      <alignment horizontal="center" vertical="center"/>
    </xf>
    <xf numFmtId="49" fontId="34" fillId="0" borderId="36" xfId="0" applyNumberFormat="1" applyFont="1" applyBorder="1" applyAlignment="1">
      <alignment horizontal="center" vertical="top"/>
    </xf>
    <xf numFmtId="168" fontId="41" fillId="0" borderId="11" xfId="52" applyNumberFormat="1" applyFont="1" applyFill="1" applyBorder="1">
      <alignment horizontal="center" vertical="center"/>
    </xf>
    <xf numFmtId="168" fontId="32" fillId="39" borderId="1" xfId="1" applyNumberFormat="1" applyFont="1" applyFill="1">
      <alignment horizontal="center" vertical="center"/>
    </xf>
    <xf numFmtId="0" fontId="31" fillId="37" borderId="37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168" fontId="50" fillId="41" borderId="1" xfId="1" applyNumberFormat="1" applyFont="1" applyFill="1">
      <alignment horizontal="center" vertical="center"/>
    </xf>
    <xf numFmtId="0" fontId="2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68" fontId="50" fillId="38" borderId="1" xfId="54" applyNumberFormat="1" applyFont="1" applyFill="1">
      <alignment horizontal="center" vertical="center"/>
    </xf>
    <xf numFmtId="0" fontId="25" fillId="38" borderId="38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 wrapText="1"/>
    </xf>
    <xf numFmtId="0" fontId="45" fillId="42" borderId="33" xfId="0" applyFont="1" applyFill="1" applyBorder="1" applyAlignment="1">
      <alignment vertical="center" wrapText="1"/>
    </xf>
    <xf numFmtId="168" fontId="32" fillId="0" borderId="39" xfId="53" applyNumberFormat="1" applyFont="1" applyFill="1" applyBorder="1">
      <alignment horizontal="center" vertical="center"/>
    </xf>
    <xf numFmtId="168" fontId="32" fillId="41" borderId="40" xfId="53" applyNumberFormat="1" applyFont="1" applyFill="1" applyBorder="1">
      <alignment horizontal="center" vertical="center"/>
    </xf>
    <xf numFmtId="168" fontId="32" fillId="0" borderId="41" xfId="0" applyNumberFormat="1" applyFont="1" applyBorder="1" applyAlignment="1">
      <alignment horizontal="center" vertical="center"/>
    </xf>
    <xf numFmtId="168" fontId="32" fillId="41" borderId="17" xfId="53" applyNumberFormat="1" applyFont="1" applyFill="1" applyBorder="1">
      <alignment horizontal="center" vertical="center"/>
    </xf>
    <xf numFmtId="168" fontId="32" fillId="38" borderId="1" xfId="50" applyNumberFormat="1" applyFont="1" applyFill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168" fontId="32" fillId="41" borderId="39" xfId="52" applyNumberFormat="1" applyFont="1" applyFill="1" applyBorder="1">
      <alignment horizontal="center" vertical="center"/>
    </xf>
    <xf numFmtId="168" fontId="32" fillId="0" borderId="41" xfId="51" applyNumberFormat="1" applyFont="1" applyBorder="1">
      <alignment horizontal="center" vertical="center"/>
    </xf>
    <xf numFmtId="168" fontId="32" fillId="44" borderId="17" xfId="52" applyNumberFormat="1" applyFont="1" applyFill="1" applyBorder="1">
      <alignment horizontal="center" vertical="center"/>
    </xf>
    <xf numFmtId="0" fontId="33" fillId="44" borderId="17" xfId="0" applyFont="1" applyFill="1" applyBorder="1"/>
    <xf numFmtId="0" fontId="47" fillId="0" borderId="0" xfId="0" applyFont="1" applyFill="1" applyBorder="1" applyAlignment="1">
      <alignment horizontal="center" vertical="center" wrapText="1"/>
    </xf>
    <xf numFmtId="168" fontId="32" fillId="41" borderId="39" xfId="53" applyNumberFormat="1" applyFont="1" applyFill="1" applyBorder="1">
      <alignment horizontal="center" vertical="center"/>
    </xf>
    <xf numFmtId="168" fontId="32" fillId="41" borderId="40" xfId="51" applyNumberFormat="1" applyFont="1" applyFill="1" applyBorder="1">
      <alignment horizontal="center" vertical="center"/>
    </xf>
    <xf numFmtId="168" fontId="32" fillId="41" borderId="41" xfId="52" applyNumberFormat="1" applyFont="1" applyFill="1" applyBorder="1">
      <alignment horizontal="center" vertical="center"/>
    </xf>
    <xf numFmtId="168" fontId="32" fillId="40" borderId="11" xfId="53" applyNumberFormat="1" applyFont="1" applyFill="1" applyBorder="1">
      <alignment horizontal="center" vertical="center"/>
    </xf>
    <xf numFmtId="0" fontId="52" fillId="43" borderId="17" xfId="0" applyFont="1" applyFill="1" applyBorder="1" applyAlignment="1">
      <alignment horizontal="center" vertical="center" wrapText="1"/>
    </xf>
    <xf numFmtId="0" fontId="33" fillId="45" borderId="17" xfId="0" applyFont="1" applyFill="1" applyBorder="1"/>
    <xf numFmtId="0" fontId="33" fillId="45" borderId="17" xfId="0" applyFont="1" applyFill="1" applyBorder="1" applyAlignment="1">
      <alignment horizontal="center" vertical="center"/>
    </xf>
    <xf numFmtId="0" fontId="42" fillId="0" borderId="24" xfId="0" applyFont="1" applyBorder="1" applyAlignment="1">
      <alignment horizontal="left" vertical="center"/>
    </xf>
    <xf numFmtId="0" fontId="33" fillId="44" borderId="17" xfId="0" applyFont="1" applyFill="1" applyBorder="1" applyAlignment="1">
      <alignment horizontal="center" vertical="center"/>
    </xf>
    <xf numFmtId="168" fontId="32" fillId="42" borderId="17" xfId="53" applyNumberFormat="1" applyFont="1" applyFill="1" applyBorder="1">
      <alignment horizontal="center" vertical="center"/>
    </xf>
    <xf numFmtId="168" fontId="32" fillId="0" borderId="39" xfId="51" applyNumberFormat="1" applyFont="1" applyFill="1" applyBorder="1">
      <alignment horizontal="center" vertical="center"/>
    </xf>
    <xf numFmtId="168" fontId="32" fillId="0" borderId="39" xfId="51" applyNumberFormat="1" applyFont="1" applyBorder="1">
      <alignment horizontal="center" vertical="center"/>
    </xf>
    <xf numFmtId="168" fontId="41" fillId="0" borderId="43" xfId="53" applyNumberFormat="1" applyFont="1" applyFill="1" applyBorder="1">
      <alignment horizontal="center" vertical="center"/>
    </xf>
    <xf numFmtId="168" fontId="33" fillId="42" borderId="17" xfId="51" applyNumberFormat="1" applyFont="1" applyFill="1" applyBorder="1">
      <alignment horizontal="center" vertical="center"/>
    </xf>
    <xf numFmtId="168" fontId="32" fillId="41" borderId="43" xfId="53" applyNumberFormat="1" applyFont="1" applyFill="1" applyBorder="1">
      <alignment horizontal="center" vertical="center"/>
    </xf>
    <xf numFmtId="168" fontId="32" fillId="40" borderId="41" xfId="0" applyNumberFormat="1" applyFont="1" applyFill="1" applyBorder="1" applyAlignment="1">
      <alignment horizontal="center" vertical="center"/>
    </xf>
    <xf numFmtId="168" fontId="33" fillId="42" borderId="17" xfId="53" applyNumberFormat="1" applyFont="1" applyFill="1" applyBorder="1">
      <alignment horizontal="center" vertical="center"/>
    </xf>
    <xf numFmtId="168" fontId="32" fillId="0" borderId="41" xfId="0" applyNumberFormat="1" applyFont="1" applyFill="1" applyBorder="1" applyAlignment="1">
      <alignment horizontal="center" vertical="center"/>
    </xf>
    <xf numFmtId="168" fontId="32" fillId="0" borderId="44" xfId="0" applyNumberFormat="1" applyFont="1" applyBorder="1" applyAlignment="1">
      <alignment horizontal="center" vertical="center"/>
    </xf>
    <xf numFmtId="168" fontId="32" fillId="41" borderId="45" xfId="52" applyNumberFormat="1" applyFont="1" applyFill="1" applyBorder="1">
      <alignment horizontal="center" vertical="center"/>
    </xf>
    <xf numFmtId="0" fontId="31" fillId="37" borderId="46" xfId="0" applyFont="1" applyFill="1" applyBorder="1" applyAlignment="1">
      <alignment horizontal="center" vertical="center"/>
    </xf>
    <xf numFmtId="168" fontId="32" fillId="41" borderId="11" xfId="53" applyNumberFormat="1" applyFont="1" applyFill="1" applyBorder="1">
      <alignment horizontal="center" vertical="center"/>
    </xf>
    <xf numFmtId="168" fontId="33" fillId="42" borderId="17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0" fontId="40" fillId="0" borderId="48" xfId="0" applyFont="1" applyBorder="1" applyAlignment="1">
      <alignment horizontal="left" vertical="center"/>
    </xf>
    <xf numFmtId="168" fontId="32" fillId="41" borderId="39" xfId="51" applyNumberFormat="1" applyFont="1" applyFill="1" applyBorder="1">
      <alignment horizontal="center" vertical="center"/>
    </xf>
    <xf numFmtId="168" fontId="32" fillId="41" borderId="41" xfId="51" applyNumberFormat="1" applyFont="1" applyFill="1" applyBorder="1">
      <alignment horizontal="center" vertical="center"/>
    </xf>
    <xf numFmtId="168" fontId="32" fillId="40" borderId="11" xfId="54" applyNumberFormat="1" applyFont="1" applyFill="1" applyBorder="1">
      <alignment horizontal="center" vertical="center"/>
    </xf>
    <xf numFmtId="168" fontId="32" fillId="41" borderId="17" xfId="52" applyNumberFormat="1" applyFont="1" applyFill="1" applyBorder="1">
      <alignment horizontal="center" vertical="center"/>
    </xf>
    <xf numFmtId="0" fontId="45" fillId="0" borderId="17" xfId="0" applyFont="1" applyFill="1" applyBorder="1" applyAlignment="1">
      <alignment vertical="center" wrapText="1"/>
    </xf>
    <xf numFmtId="168" fontId="32" fillId="41" borderId="17" xfId="51" applyNumberFormat="1" applyFont="1" applyFill="1" applyBorder="1">
      <alignment horizontal="center" vertical="center"/>
    </xf>
    <xf numFmtId="168" fontId="32" fillId="40" borderId="40" xfId="53" applyNumberFormat="1" applyFont="1" applyFill="1" applyBorder="1">
      <alignment horizontal="center" vertical="center"/>
    </xf>
    <xf numFmtId="168" fontId="41" fillId="0" borderId="41" xfId="0" applyNumberFormat="1" applyFont="1" applyFill="1" applyBorder="1" applyAlignment="1">
      <alignment horizontal="center" vertical="center"/>
    </xf>
    <xf numFmtId="168" fontId="32" fillId="40" borderId="17" xfId="53" applyNumberFormat="1" applyFont="1" applyFill="1" applyBorder="1">
      <alignment horizontal="center" vertical="center"/>
    </xf>
    <xf numFmtId="168" fontId="32" fillId="0" borderId="39" xfId="52" applyNumberFormat="1" applyFont="1" applyFill="1" applyBorder="1">
      <alignment horizontal="center" vertical="center"/>
    </xf>
    <xf numFmtId="168" fontId="32" fillId="41" borderId="40" xfId="52" applyNumberFormat="1" applyFont="1" applyFill="1" applyBorder="1">
      <alignment horizontal="center" vertical="center"/>
    </xf>
    <xf numFmtId="168" fontId="32" fillId="41" borderId="41" xfId="54" applyNumberFormat="1" applyFont="1" applyFill="1" applyBorder="1">
      <alignment horizontal="center" vertical="center"/>
    </xf>
    <xf numFmtId="168" fontId="32" fillId="41" borderId="40" xfId="50" applyNumberFormat="1" applyFont="1" applyFill="1" applyBorder="1">
      <alignment horizontal="center" vertical="center"/>
    </xf>
    <xf numFmtId="168" fontId="32" fillId="40" borderId="40" xfId="50" applyNumberFormat="1" applyFont="1" applyFill="1" applyBorder="1">
      <alignment horizontal="center" vertical="center"/>
    </xf>
    <xf numFmtId="168" fontId="32" fillId="41" borderId="41" xfId="53" applyNumberFormat="1" applyFont="1" applyFill="1" applyBorder="1">
      <alignment horizontal="center" vertical="center"/>
    </xf>
    <xf numFmtId="168" fontId="32" fillId="40" borderId="17" xfId="51" applyNumberFormat="1" applyFont="1" applyFill="1" applyBorder="1">
      <alignment horizontal="center" vertical="center"/>
    </xf>
    <xf numFmtId="168" fontId="32" fillId="0" borderId="40" xfId="50" applyNumberFormat="1" applyFont="1" applyFill="1" applyBorder="1">
      <alignment horizontal="center" vertical="center"/>
    </xf>
    <xf numFmtId="168" fontId="32" fillId="40" borderId="41" xfId="52" applyNumberFormat="1" applyFont="1" applyFill="1" applyBorder="1">
      <alignment horizontal="center" vertical="center"/>
    </xf>
    <xf numFmtId="0" fontId="53" fillId="0" borderId="0" xfId="0" applyFont="1" applyAlignment="1">
      <alignment horizontal="left"/>
    </xf>
    <xf numFmtId="0" fontId="55" fillId="0" borderId="0" xfId="0" applyFont="1"/>
    <xf numFmtId="0" fontId="56" fillId="0" borderId="47" xfId="0" applyFont="1" applyBorder="1" applyAlignment="1">
      <alignment horizontal="left" wrapText="1"/>
    </xf>
    <xf numFmtId="0" fontId="56" fillId="0" borderId="47" xfId="0" applyFont="1" applyBorder="1" applyAlignment="1">
      <alignment horizontal="left"/>
    </xf>
    <xf numFmtId="0" fontId="56" fillId="0" borderId="0" xfId="0" applyFont="1" applyAlignment="1">
      <alignment horizontal="right"/>
    </xf>
    <xf numFmtId="0" fontId="57" fillId="0" borderId="47" xfId="0" applyFont="1" applyBorder="1" applyAlignment="1">
      <alignment horizontal="left"/>
    </xf>
    <xf numFmtId="0" fontId="58" fillId="0" borderId="26" xfId="0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 wrapText="1"/>
    </xf>
    <xf numFmtId="0" fontId="58" fillId="0" borderId="29" xfId="0" applyFont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wrapText="1"/>
    </xf>
    <xf numFmtId="0" fontId="58" fillId="0" borderId="30" xfId="0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 wrapText="1"/>
    </xf>
    <xf numFmtId="0" fontId="59" fillId="0" borderId="3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42" xfId="0" applyFont="1" applyFill="1" applyBorder="1" applyAlignment="1">
      <alignment horizontal="left" vertical="center"/>
    </xf>
    <xf numFmtId="0" fontId="60" fillId="0" borderId="18" xfId="0" applyFont="1" applyBorder="1" applyAlignment="1">
      <alignment horizontal="center" wrapText="1"/>
    </xf>
    <xf numFmtId="0" fontId="60" fillId="0" borderId="19" xfId="0" applyFont="1" applyBorder="1" applyAlignment="1">
      <alignment horizontal="center" wrapText="1"/>
    </xf>
    <xf numFmtId="0" fontId="60" fillId="0" borderId="20" xfId="0" applyFont="1" applyBorder="1" applyAlignment="1">
      <alignment horizontal="center" wrapText="1"/>
    </xf>
    <xf numFmtId="0" fontId="58" fillId="0" borderId="18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60" fillId="0" borderId="18" xfId="0" applyFont="1" applyFill="1" applyBorder="1" applyAlignment="1">
      <alignment horizontal="center" wrapText="1"/>
    </xf>
    <xf numFmtId="0" fontId="60" fillId="0" borderId="19" xfId="0" applyFont="1" applyFill="1" applyBorder="1" applyAlignment="1">
      <alignment horizontal="center" wrapText="1"/>
    </xf>
    <xf numFmtId="0" fontId="60" fillId="0" borderId="20" xfId="0" applyFont="1" applyFill="1" applyBorder="1" applyAlignment="1">
      <alignment horizontal="center" wrapText="1"/>
    </xf>
  </cellXfs>
  <cellStyles count="56">
    <cellStyle name="20% - Accent1" xfId="27" builtinId="30" hidden="1"/>
    <cellStyle name="20% - Accent2" xfId="31" builtinId="34" hidden="1"/>
    <cellStyle name="20% - Accent3" xfId="35" builtinId="38" hidden="1"/>
    <cellStyle name="20% - Accent4" xfId="39" builtinId="42" hidden="1"/>
    <cellStyle name="20% - Accent5" xfId="43" builtinId="46" hidden="1"/>
    <cellStyle name="20% - Accent6" xfId="47" builtinId="50" hidden="1"/>
    <cellStyle name="40% - Accent1" xfId="28" builtinId="31" hidden="1"/>
    <cellStyle name="40% - Accent2" xfId="32" builtinId="35" hidden="1"/>
    <cellStyle name="40% - Accent3" xfId="36" builtinId="39" hidden="1"/>
    <cellStyle name="40% - Accent4" xfId="40" builtinId="43" hidden="1"/>
    <cellStyle name="40% - Accent5" xfId="44" builtinId="47" hidden="1"/>
    <cellStyle name="40% - Accent6" xfId="48" builtinId="51" hidden="1"/>
    <cellStyle name="60% - Accent1" xfId="29" builtinId="32" hidden="1"/>
    <cellStyle name="60% - Accent2" xfId="33" builtinId="36" hidden="1"/>
    <cellStyle name="60% - Accent3" xfId="37" builtinId="40" hidden="1"/>
    <cellStyle name="60% - Accent4" xfId="41" builtinId="44" hidden="1"/>
    <cellStyle name="60% - Accent5" xfId="45" builtinId="48" hidden="1"/>
    <cellStyle name="60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Bad" xfId="15" builtinId="27" hidden="1"/>
    <cellStyle name="Calculation" xfId="19" builtinId="22" hidden="1"/>
    <cellStyle name="Check Cell" xfId="21" builtinId="23" hidden="1"/>
    <cellStyle name="Comma" xfId="4" builtinId="3" hidden="1"/>
    <cellStyle name="Comma [0]" xfId="5" builtinId="6" hidden="1"/>
    <cellStyle name="Currency" xfId="6" builtinId="4" hidden="1"/>
    <cellStyle name="Currency [0]" xfId="7" builtinId="7" hidden="1"/>
    <cellStyle name="Day Off" xfId="51" xr:uid="{00000000-0005-0000-0000-00001F000000}"/>
    <cellStyle name="Day Shift" xfId="52" xr:uid="{00000000-0005-0000-0000-000020000000}"/>
    <cellStyle name="Day/Night Shift" xfId="54" xr:uid="{00000000-0005-0000-0000-000021000000}"/>
    <cellStyle name="Explanatory Text" xfId="24" builtinId="53" hidden="1"/>
    <cellStyle name="Followed Hyperlink" xfId="3" builtinId="9" hidden="1"/>
    <cellStyle name="Good" xfId="14" builtinId="26" hidden="1"/>
    <cellStyle name="Heading 1" xfId="10" builtinId="16" hidden="1"/>
    <cellStyle name="Heading 2" xfId="11" builtinId="17" hidden="1"/>
    <cellStyle name="Heading 3" xfId="12" builtinId="18" hidden="1"/>
    <cellStyle name="Heading 4" xfId="13" builtinId="19" hidden="1"/>
    <cellStyle name="Holidays" xfId="1" xr:uid="{00000000-0005-0000-0000-000029000000}"/>
    <cellStyle name="Hyperlink" xfId="2" builtinId="8" hidden="1"/>
    <cellStyle name="Input" xfId="17" builtinId="20" hidden="1"/>
    <cellStyle name="Linked Cell" xfId="20" builtinId="24" hidden="1"/>
    <cellStyle name="Neutral" xfId="16" builtinId="28" hidden="1"/>
    <cellStyle name="Night Shift" xfId="53" xr:uid="{00000000-0005-0000-0000-00002E000000}"/>
    <cellStyle name="Non Working" xfId="50" xr:uid="{00000000-0005-0000-0000-00002F000000}"/>
    <cellStyle name="Normal" xfId="0" builtinId="0"/>
    <cellStyle name="Normal 2" xfId="55" xr:uid="{00000000-0005-0000-0000-000031000000}"/>
    <cellStyle name="Note" xfId="23" builtinId="10" hidden="1"/>
    <cellStyle name="Output" xfId="18" builtinId="21" hidden="1"/>
    <cellStyle name="Percent" xfId="8" builtinId="5" hidden="1"/>
    <cellStyle name="Title" xfId="9" builtinId="15" hidden="1"/>
    <cellStyle name="Total" xfId="25" builtinId="25" hidden="1"/>
    <cellStyle name="Warning Text" xfId="22" builtinId="11" hidden="1"/>
  </cellStyles>
  <dxfs count="19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Medium7"/>
  <colors>
    <mruColors>
      <color rgb="FFFC9204"/>
      <color rgb="FFFFFF99"/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403860</xdr:colOff>
          <xdr:row>0</xdr:row>
          <xdr:rowOff>342900</xdr:rowOff>
        </xdr:from>
        <xdr:to>
          <xdr:col>28</xdr:col>
          <xdr:colOff>131445</xdr:colOff>
          <xdr:row>0</xdr:row>
          <xdr:rowOff>647700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10</xdr:col>
      <xdr:colOff>409576</xdr:colOff>
      <xdr:row>36</xdr:row>
      <xdr:rowOff>59055</xdr:rowOff>
    </xdr:from>
    <xdr:to>
      <xdr:col>16</xdr:col>
      <xdr:colOff>179070</xdr:colOff>
      <xdr:row>37</xdr:row>
      <xdr:rowOff>76200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6AC2079-CB71-3620-7B12-A6F8B2F9DED3}"/>
            </a:ext>
          </a:extLst>
        </xdr:cNvPr>
        <xdr:cNvSpPr txBox="1">
          <a:spLocks noChangeArrowheads="1"/>
        </xdr:cNvSpPr>
      </xdr:nvSpPr>
      <xdr:spPr bwMode="auto">
        <a:xfrm>
          <a:off x="4476751" y="11393805"/>
          <a:ext cx="2398394" cy="3790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Always Register for Fan the Flame sessions via  https://sunshinecoastri.weebly.com </a:t>
          </a:r>
          <a:endParaRPr lang="en-AU" sz="900" b="0" i="1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A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161924</xdr:colOff>
      <xdr:row>0</xdr:row>
      <xdr:rowOff>0</xdr:rowOff>
    </xdr:from>
    <xdr:to>
      <xdr:col>3</xdr:col>
      <xdr:colOff>1904</xdr:colOff>
      <xdr:row>0</xdr:row>
      <xdr:rowOff>782948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6163833-7E94-E76B-D0D9-EB364992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0"/>
          <a:ext cx="866775" cy="782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ift%20work%20calendar%20year%20at%20a%20glanc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ift Work Calendar"/>
      <sheetName val="Shift Pattern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 Shift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48"/>
  <sheetViews>
    <sheetView showGridLines="0" tabSelected="1" zoomScaleNormal="100" workbookViewId="0">
      <selection activeCell="M35" sqref="M35:P35"/>
    </sheetView>
  </sheetViews>
  <sheetFormatPr defaultColWidth="0" defaultRowHeight="26.1" customHeight="1" x14ac:dyDescent="0.35"/>
  <cols>
    <col min="1" max="1" width="1.75" style="20" customWidth="1"/>
    <col min="2" max="8" width="4.75" style="20" customWidth="1"/>
    <col min="9" max="9" width="4.33203125" style="20" customWidth="1"/>
    <col min="10" max="16" width="4.75" style="20" customWidth="1"/>
    <col min="17" max="17" width="4.33203125" style="20" customWidth="1"/>
    <col min="18" max="24" width="4.75" style="20" customWidth="1"/>
    <col min="25" max="25" width="4.33203125" style="20" customWidth="1"/>
    <col min="26" max="32" width="4.75" style="20" customWidth="1"/>
    <col min="33" max="33" width="1.75" style="20" customWidth="1"/>
    <col min="34" max="34" width="0" style="20" hidden="1"/>
    <col min="35" max="16384" width="2.9140625" style="20" hidden="1"/>
  </cols>
  <sheetData>
    <row r="1" spans="1:33" s="1" customFormat="1" ht="65.25" customHeight="1" x14ac:dyDescent="1.1000000000000001">
      <c r="A1" s="60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6" t="s">
        <v>19</v>
      </c>
      <c r="N1" s="67"/>
      <c r="O1" s="67"/>
      <c r="P1" s="67"/>
      <c r="Q1" s="67"/>
      <c r="R1" s="67"/>
      <c r="S1" s="64"/>
      <c r="T1" s="64"/>
      <c r="U1" s="64"/>
      <c r="V1" s="65"/>
      <c r="W1" s="65"/>
      <c r="X1" s="65"/>
      <c r="Y1" s="65"/>
      <c r="Z1" s="65"/>
      <c r="AA1" s="65"/>
      <c r="AB1" s="65"/>
      <c r="AC1" s="68">
        <v>2024</v>
      </c>
      <c r="AD1" s="68"/>
      <c r="AE1" s="68"/>
      <c r="AF1" s="68"/>
      <c r="AG1" s="23"/>
    </row>
    <row r="2" spans="1:33" s="1" customFormat="1" ht="11.4" customHeight="1" x14ac:dyDescent="0.35">
      <c r="B2" s="5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4" customFormat="1" ht="24" customHeight="1" x14ac:dyDescent="0.35">
      <c r="B3" s="84" t="s">
        <v>50</v>
      </c>
      <c r="C3" s="84"/>
      <c r="D3" s="84"/>
      <c r="E3" s="162"/>
      <c r="F3" s="163" t="s">
        <v>20</v>
      </c>
      <c r="G3" s="163"/>
      <c r="H3" s="163"/>
      <c r="I3" s="164"/>
      <c r="J3" s="35"/>
      <c r="K3" s="27" t="s">
        <v>21</v>
      </c>
      <c r="L3" s="95"/>
      <c r="N3" s="61"/>
      <c r="O3" s="26" t="s">
        <v>22</v>
      </c>
      <c r="P3" s="40"/>
      <c r="Q3" s="96"/>
      <c r="R3" s="25"/>
      <c r="S3" s="85" t="s">
        <v>39</v>
      </c>
      <c r="T3" s="85"/>
      <c r="U3" s="85"/>
      <c r="V3" s="85"/>
      <c r="X3" s="87"/>
      <c r="Y3" s="126" t="s">
        <v>28</v>
      </c>
      <c r="Z3" s="85"/>
      <c r="AA3" s="85"/>
      <c r="AB3" s="85"/>
      <c r="AC3" s="85"/>
    </row>
    <row r="4" spans="1:33" s="1" customFormat="1" ht="15" customHeight="1" x14ac:dyDescent="0.35">
      <c r="B4" s="5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1" customFormat="1" ht="25.5" customHeight="1" x14ac:dyDescent="0.35">
      <c r="B5" s="24" t="s">
        <v>2</v>
      </c>
      <c r="C5" s="24"/>
      <c r="D5" s="24"/>
      <c r="E5" s="24"/>
      <c r="F5" s="24"/>
      <c r="G5" s="24"/>
      <c r="H5" s="24"/>
      <c r="J5" s="24" t="s">
        <v>8</v>
      </c>
      <c r="K5" s="24"/>
      <c r="L5" s="24"/>
      <c r="M5" s="24"/>
      <c r="N5" s="24"/>
      <c r="O5" s="24"/>
      <c r="P5" s="24"/>
      <c r="R5" s="24" t="s">
        <v>9</v>
      </c>
      <c r="S5" s="24"/>
      <c r="T5" s="24"/>
      <c r="U5" s="24"/>
      <c r="V5" s="24"/>
      <c r="W5" s="24"/>
      <c r="X5" s="24"/>
      <c r="Z5" s="24" t="s">
        <v>10</v>
      </c>
      <c r="AA5" s="24"/>
      <c r="AB5" s="24"/>
      <c r="AC5" s="24"/>
      <c r="AD5" s="24"/>
      <c r="AE5" s="24"/>
      <c r="AF5" s="24"/>
    </row>
    <row r="6" spans="1:33" s="6" customFormat="1" ht="26.1" customHeight="1" x14ac:dyDescent="0.3">
      <c r="B6" s="17" t="s">
        <v>0</v>
      </c>
      <c r="C6" s="18" t="s">
        <v>3</v>
      </c>
      <c r="D6" s="18" t="s">
        <v>4</v>
      </c>
      <c r="E6" s="18" t="s">
        <v>5</v>
      </c>
      <c r="F6" s="18" t="s">
        <v>6</v>
      </c>
      <c r="G6" s="80" t="s">
        <v>27</v>
      </c>
      <c r="H6" s="19" t="s">
        <v>1</v>
      </c>
      <c r="J6" s="17" t="s">
        <v>0</v>
      </c>
      <c r="K6" s="18" t="s">
        <v>3</v>
      </c>
      <c r="L6" s="18" t="s">
        <v>4</v>
      </c>
      <c r="M6" s="18" t="s">
        <v>5</v>
      </c>
      <c r="N6" s="18" t="s">
        <v>6</v>
      </c>
      <c r="O6" s="18" t="s">
        <v>7</v>
      </c>
      <c r="P6" s="19" t="s">
        <v>1</v>
      </c>
      <c r="R6" s="17" t="s">
        <v>0</v>
      </c>
      <c r="S6" s="18" t="s">
        <v>3</v>
      </c>
      <c r="T6" s="18" t="s">
        <v>4</v>
      </c>
      <c r="U6" s="18" t="s">
        <v>5</v>
      </c>
      <c r="V6" s="18" t="s">
        <v>6</v>
      </c>
      <c r="W6" s="18" t="s">
        <v>7</v>
      </c>
      <c r="X6" s="19" t="s">
        <v>1</v>
      </c>
      <c r="Z6" s="17" t="s">
        <v>0</v>
      </c>
      <c r="AA6" s="18" t="s">
        <v>3</v>
      </c>
      <c r="AB6" s="18" t="s">
        <v>4</v>
      </c>
      <c r="AC6" s="18" t="s">
        <v>5</v>
      </c>
      <c r="AD6" s="18" t="s">
        <v>6</v>
      </c>
      <c r="AE6" s="18" t="s">
        <v>7</v>
      </c>
      <c r="AF6" s="19" t="s">
        <v>1</v>
      </c>
    </row>
    <row r="7" spans="1:33" s="8" customFormat="1" ht="26.1" customHeight="1" thickBot="1" x14ac:dyDescent="0.4">
      <c r="B7" s="9" t="str">
        <f>IF(DAY(JanSun1)=1,"",IF(AND(YEAR(JanSun1+1)=CalendarYear,MONTH(JanSun1+1)=1),JanSun1+1,""))</f>
        <v/>
      </c>
      <c r="C7" s="28">
        <f>IF(DAY(JanSun1)=1,"",IF(AND(YEAR(JanSun1+2)=CalendarYear,MONTH(JanSun1+2)=1),JanSun1+2,""))</f>
        <v>45292</v>
      </c>
      <c r="D7" s="30">
        <f>IF(DAY(JanSun1)=1,"",IF(AND(YEAR(JanSun1+3)=CalendarYear,MONTH(JanSun1+3)=1),JanSun1+3,""))</f>
        <v>45293</v>
      </c>
      <c r="E7" s="30">
        <f>IF(DAY(JanSun1)=1,"",IF(AND(YEAR(JanSun1+4)=CalendarYear,MONTH(JanSun1+4)=1),JanSun1+4,""))</f>
        <v>45294</v>
      </c>
      <c r="F7" s="30">
        <f>IF(DAY(JanSun1)=1,"",IF(AND(YEAR(JanSun1+5)=CalendarYear,MONTH(JanSun1+5)=1),JanSun1+5,""))</f>
        <v>45295</v>
      </c>
      <c r="G7" s="30">
        <v>5</v>
      </c>
      <c r="H7" s="71">
        <f>IF(DAY(JanSun1)=1,IF(AND(YEAR(JanSun1)=CalendarYear,MONTH(JanSun1)=1),JanSun1,""),IF(AND(YEAR(JanSun1+7)=CalendarYear,MONTH(JanSun1+7)=1),JanSun1+7,""))</f>
        <v>45297</v>
      </c>
      <c r="J7" s="9" t="str">
        <f>IF(DAY(FebSun1)=1,"",IF(AND(YEAR(FebSun1+1)=CalendarYear,MONTH(FebSun1+1)=2),FebSun1+1,""))</f>
        <v/>
      </c>
      <c r="K7" s="92" t="str">
        <f>IF(DAY(FebSun1)=1,"",IF(AND(YEAR(FebSun1+2)=CalendarYear,MONTH(FebSun1+2)=2),FebSun1+2,""))</f>
        <v/>
      </c>
      <c r="L7" s="10" t="str">
        <f>IF(DAY(FebSun1)=1,"",IF(AND(YEAR(FebSun1+3)=CalendarYear,MONTH(FebSun1+3)=2),FebSun1+3,""))</f>
        <v/>
      </c>
      <c r="M7" s="10" t="str">
        <f>IF(DAY(FebSun1)=1,"",IF(AND(YEAR(FebSun1+4)=CalendarYear,MONTH(FebSun1+4)=2),FebSun1+4,""))</f>
        <v/>
      </c>
      <c r="N7" s="46">
        <f>IF(DAY(FebSun1)=1,"",IF(AND(YEAR(FebSun1+5)=CalendarYear,MONTH(FebSun1+5)=2),FebSun1+5,""))</f>
        <v>45323</v>
      </c>
      <c r="O7" s="47">
        <f>IF(DAY(FebSun1)=1,"",IF(AND(YEAR(FebSun1+6)=CalendarYear,MONTH(FebSun1+6)=2),FebSun1+6,""))</f>
        <v>45324</v>
      </c>
      <c r="P7" s="98">
        <f>IF(DAY(FebSun1)=1,IF(AND(YEAR(FebSun1)=CalendarYear,MONTH(FebSun1)=2),FebSun1,""),IF(AND(YEAR(FebSun1+7)=CalendarYear,MONTH(FebSun1+7)=2),FebSun1+7,""))</f>
        <v>45325</v>
      </c>
      <c r="R7" s="36">
        <f>IF(DAY(MarSun1)=1,IF(AND(YEAR(MarSun1+29)=CalendarYear,MONTH(MarSun1+29)=3),MarSun1+29,""),IF(AND(YEAR(MarSun1+36)=CalendarYear,MONTH(MarSun1+36)=3),MarSun1+36,""))</f>
        <v>45382</v>
      </c>
      <c r="S7" s="92" t="str">
        <f>IF(DAY(MarSun1)=1,"",IF(AND(YEAR(MarSun1+2)=CalendarYear,MONTH(MarSun1+2)=3),MarSun1+2,""))</f>
        <v/>
      </c>
      <c r="T7" s="10" t="str">
        <f>IF(DAY(MarSun1)=1,"",IF(AND(YEAR(MarSun1+3)=CalendarYear,MONTH(MarSun1+3)=3),MarSun1+3,""))</f>
        <v/>
      </c>
      <c r="U7" s="10" t="str">
        <f>IF(DAY(MarSun1)=1,"",IF(AND(YEAR(MarSun1+4)=CalendarYear,MONTH(MarSun1+4)=3),MarSun1+4,""))</f>
        <v/>
      </c>
      <c r="V7" s="10" t="str">
        <f>IF(DAY(MarSun1)=1,"",IF(AND(YEAR(MarSun1+5)=CalendarYear,MONTH(MarSun1+5)=3),MarSun1+5,""))</f>
        <v/>
      </c>
      <c r="W7" s="47">
        <f>IF(DAY(MarSun1)=1,"",IF(AND(YEAR(MarSun1+6)=CalendarYear,MONTH(MarSun1+6)=3),MarSun1+6,""))</f>
        <v>45352</v>
      </c>
      <c r="X7" s="11">
        <f>IF(DAY(MarSun1)=1,IF(AND(YEAR(MarSun1)=CalendarYear,MONTH(MarSun1)=3),MarSun1,""),IF(AND(YEAR(MarSun1+7)=CalendarYear,MONTH(MarSun1+7)=3),MarSun1+7,""))</f>
        <v>45353</v>
      </c>
      <c r="Z7" s="9" t="str">
        <f>IF(DAY(AprSun1)=1,"",IF(AND(YEAR(AprSun1+1)=CalendarYear,MONTH(AprSun1+1)=4),AprSun1+1,""))</f>
        <v/>
      </c>
      <c r="AA7" s="134">
        <f>IF(DAY(AprSun1)=1,"",IF(AND(YEAR(AprSun1+2)=CalendarYear,MONTH(AprSun1+2)=4),AprSun1+2,""))</f>
        <v>45383</v>
      </c>
      <c r="AB7" s="30">
        <f>IF(DAY(AprSun1)=1,"",IF(AND(YEAR(AprSun1+3)=CalendarYear,MONTH(AprSun1+3)=4),AprSun1+3,""))</f>
        <v>45384</v>
      </c>
      <c r="AC7" s="30">
        <f>IF(DAY(AprSun1)=1,"",IF(AND(YEAR(AprSun1+4)=CalendarYear,MONTH(AprSun1+4)=4),AprSun1+4,""))</f>
        <v>45385</v>
      </c>
      <c r="AD7" s="30">
        <f>IF(DAY(AprSun1)=1,"",IF(AND(YEAR(AprSun1+5)=CalendarYear,MONTH(AprSun1+5)=4),AprSun1+5,""))</f>
        <v>45386</v>
      </c>
      <c r="AE7" s="31">
        <f>IF(DAY(AprSun1)=1,"",IF(AND(YEAR(AprSun1+6)=CalendarYear,MONTH(AprSun1+6)=4),AprSun1+6,""))</f>
        <v>45387</v>
      </c>
      <c r="AF7" s="71">
        <f>IF(DAY(AprSun1)=1,IF(AND(YEAR(AprSun1)=CalendarYear,MONTH(AprSun1)=4),AprSun1,""),IF(AND(YEAR(AprSun1+7)=CalendarYear,MONTH(AprSun1+7)=4),AprSun1+7,""))</f>
        <v>45388</v>
      </c>
    </row>
    <row r="8" spans="1:33" s="8" customFormat="1" ht="26.1" customHeight="1" thickBot="1" x14ac:dyDescent="0.4">
      <c r="B8" s="12">
        <f>IF(DAY(JanSun1)=1,IF(AND(YEAR(JanSun1+1)=CalendarYear,MONTH(JanSun1+1)=1),JanSun1+1,""),IF(AND(YEAR(JanSun1+8)=CalendarYear,MONTH(JanSun1+8)=1),JanSun1+8,""))</f>
        <v>45298</v>
      </c>
      <c r="C8" s="32">
        <f>IF(DAY(JanSun1)=1,IF(AND(YEAR(JanSun1+2)=CalendarYear,MONTH(JanSun1+2)=1),JanSun1+2,""),IF(AND(YEAR(JanSun1+9)=CalendarYear,MONTH(JanSun1+9)=1),JanSun1+9,""))</f>
        <v>45299</v>
      </c>
      <c r="D8" s="32">
        <f>IF(DAY(JanSun1)=1,IF(AND(YEAR(JanSun1+3)=CalendarYear,MONTH(JanSun1+3)=1),JanSun1+3,""),IF(AND(YEAR(JanSun1+10)=CalendarYear,MONTH(JanSun1+10)=1),JanSun1+10,""))</f>
        <v>45300</v>
      </c>
      <c r="E8" s="33">
        <f>IF(DAY(JanSun1)=1,IF(AND(YEAR(JanSun1+4)=CalendarYear,MONTH(JanSun1+4)=1),JanSun1+4,""),IF(AND(YEAR(JanSun1+11)=CalendarYear,MONTH(JanSun1+11)=1),JanSun1+11,""))</f>
        <v>45301</v>
      </c>
      <c r="F8" s="33">
        <f>IF(DAY(JanSun1)=1,IF(AND(YEAR(JanSun1+5)=CalendarYear,MONTH(JanSun1+5)=1),JanSun1+5,""),IF(AND(YEAR(JanSun1+12)=CalendarYear,MONTH(JanSun1+12)=1),JanSun1+12,""))</f>
        <v>45302</v>
      </c>
      <c r="G8" s="33">
        <v>12</v>
      </c>
      <c r="H8" s="14">
        <f>IF(DAY(JanSun1)=1,IF(AND(YEAR(JanSun1+7)=CalendarYear,MONTH(JanSun1+7)=1),JanSun1+7,""),IF(AND(YEAR(JanSun1+14)=CalendarYear,MONTH(JanSun1+14)=1),JanSun1+14,""))</f>
        <v>45304</v>
      </c>
      <c r="J8" s="90">
        <f>IF(DAY(FebSun1)=1,IF(AND(YEAR(FebSun1+1)=CalendarYear,MONTH(FebSun1+1)=2),FebSun1+1,""),IF(AND(YEAR(FebSun1+8)=CalendarYear,MONTH(FebSun1+8)=2),FebSun1+8,""))</f>
        <v>45326</v>
      </c>
      <c r="K8" s="132">
        <f>IF(DAY(JunSun1)=1,IF(AND(YEAR(JunSun1+4)=CalendarYear,MONTH(JunSun1+4)=6),JunSun1+4,""),IF(AND(YEAR(JunSun1+11)=CalendarYear,MONTH(JunSun1+11)=6),JunSun1+11,""))</f>
        <v>45448</v>
      </c>
      <c r="L8" s="91">
        <f>IF(DAY(FebSun1)=1,IF(AND(YEAR(FebSun1+3)=CalendarYear,MONTH(FebSun1+3)=2),FebSun1+3,""),IF(AND(YEAR(FebSun1+10)=CalendarYear,MONTH(FebSun1+10)=2),FebSun1+10,""))</f>
        <v>45328</v>
      </c>
      <c r="M8" s="42">
        <f>IF(DAY(FebSun1)=1,IF(AND(YEAR(FebSun1+4)=CalendarYear,MONTH(FebSun1+4)=2),FebSun1+4,""),IF(AND(YEAR(FebSun1+11)=CalendarYear,MONTH(FebSun1+11)=2),FebSun1+11,""))</f>
        <v>45329</v>
      </c>
      <c r="N8" s="42">
        <f>IF(DAY(FebSun1)=1,IF(AND(YEAR(FebSun1+5)=CalendarYear,MONTH(FebSun1+5)=2),FebSun1+5,""),IF(AND(YEAR(FebSun1+12)=CalendarYear,MONTH(FebSun1+12)=2),FebSun1+12,""))</f>
        <v>45330</v>
      </c>
      <c r="O8" s="97">
        <f>IF(DAY(FebSun1)=1,IF(AND(YEAR(FebSun1+6)=CalendarYear,MONTH(FebSun1+6)=2),FebSun1+6,""),IF(AND(YEAR(FebSun1+13)=CalendarYear,MONTH(FebSun1+13)=2),FebSun1+13,""))</f>
        <v>45331</v>
      </c>
      <c r="P8" s="99">
        <f>IF(DAY(FebSun1)=1,IF(AND(YEAR(FebSun1+7)=CalendarYear,MONTH(FebSun1+7)=2),FebSun1+7,""),IF(AND(YEAR(FebSun1+14)=CalendarYear,MONTH(FebSun1+14)=2),FebSun1+14,""))</f>
        <v>45332</v>
      </c>
      <c r="R8" s="90">
        <f>IF(DAY(MarSun1)=1,IF(AND(YEAR(MarSun1+1)=CalendarYear,MONTH(MarSun1+1)=3),MarSun1+1,""),IF(AND(YEAR(MarSun1+8)=CalendarYear,MONTH(MarSun1+8)=3),MarSun1+8,""))</f>
        <v>45354</v>
      </c>
      <c r="S8" s="111">
        <f>IF(DAY(MarSun1)=1,IF(AND(YEAR(MarSun1+2)=CalendarYear,MONTH(MarSun1+2)=3),MarSun1+2,""),IF(AND(YEAR(MarSun1+9)=CalendarYear,MONTH(MarSun1+9)=3),MarSun1+9,""))</f>
        <v>45355</v>
      </c>
      <c r="T8" s="91">
        <f>IF(DAY(MarSun1)=1,IF(AND(YEAR(MarSun1+3)=CalendarYear,MONTH(MarSun1+3)=3),MarSun1+3,""),IF(AND(YEAR(MarSun1+10)=CalendarYear,MONTH(MarSun1+10)=3),MarSun1+10,""))</f>
        <v>45356</v>
      </c>
      <c r="U8" s="42">
        <f>IF(DAY(MarSun1)=1,IF(AND(YEAR(MarSun1+4)=CalendarYear,MONTH(MarSun1+4)=3),MarSun1+4,""),IF(AND(YEAR(MarSun1+11)=CalendarYear,MONTH(MarSun1+11)=3),MarSun1+11,""))</f>
        <v>45357</v>
      </c>
      <c r="V8" s="42">
        <f>IF(DAY(MarSun1)=1,IF(AND(YEAR(MarSun1+5)=CalendarYear,MONTH(MarSun1+5)=3),MarSun1+5,""),IF(AND(YEAR(MarSun1+12)=CalendarYear,MONTH(MarSun1+12)=3),MarSun1+12,""))</f>
        <v>45358</v>
      </c>
      <c r="W8" s="41">
        <f>IF(DAY(MarSun1)=1,IF(AND(YEAR(MarSun1+6)=CalendarYear,MONTH(MarSun1+6)=3),MarSun1+6,""),IF(AND(YEAR(MarSun1+13)=CalendarYear,MONTH(MarSun1+13)=3),MarSun1+13,""))</f>
        <v>45359</v>
      </c>
      <c r="X8" s="14">
        <f>IF(DAY(MarSun1)=1,IF(AND(YEAR(MarSun1+7)=CalendarYear,MONTH(MarSun1+7)=3),MarSun1+7,""),IF(AND(YEAR(MarSun1+14)=CalendarYear,MONTH(MarSun1+14)=3),MarSun1+14,""))</f>
        <v>45360</v>
      </c>
      <c r="Z8" s="90">
        <f>IF(DAY(AprSun1)=1,IF(AND(YEAR(AprSun1+1)=CalendarYear,MONTH(AprSun1+1)=4),AprSun1+1,""),IF(AND(YEAR(AprSun1+8)=CalendarYear,MONTH(AprSun1+8)=4),AprSun1+8,""))</f>
        <v>45389</v>
      </c>
      <c r="AA8" s="135">
        <f>IF(DAY(AprSun1)=1,IF(AND(YEAR(AprSun1+2)=CalendarYear,MONTH(AprSun1+2)=4),AprSun1+2,""),IF(AND(YEAR(AprSun1+9)=CalendarYear,MONTH(AprSun1+9)=4),AprSun1+9,""))</f>
        <v>45390</v>
      </c>
      <c r="AB8" s="133">
        <f>IF(DAY(AprSun1)=1,IF(AND(YEAR(AprSun1+3)=CalendarYear,MONTH(AprSun1+3)=4),AprSun1+3,""),IF(AND(YEAR(AprSun1+10)=CalendarYear,MONTH(AprSun1+10)=4),AprSun1+10,""))</f>
        <v>45391</v>
      </c>
      <c r="AC8" s="33">
        <f>IF(DAY(AprSun1)=1,IF(AND(YEAR(AprSun1+4)=CalendarYear,MONTH(AprSun1+4)=4),AprSun1+4,""),IF(AND(YEAR(AprSun1+11)=CalendarYear,MONTH(AprSun1+11)=4),AprSun1+11,""))</f>
        <v>45392</v>
      </c>
      <c r="AD8" s="62">
        <f>IF(DAY(AprSun1)=1,IF(AND(YEAR(AprSun1+5)=CalendarYear,MONTH(AprSun1+5)=4),AprSun1+5,""),IF(AND(YEAR(AprSun1+12)=CalendarYear,MONTH(AprSun1+12)=4),AprSun1+12,""))</f>
        <v>45393</v>
      </c>
      <c r="AE8" s="63">
        <f>IF(DAY(AprSun1)=1,IF(AND(YEAR(AprSun1+6)=CalendarYear,MONTH(AprSun1+6)=4),AprSun1+6,""),IF(AND(YEAR(AprSun1+13)=CalendarYear,MONTH(AprSun1+13)=4),AprSun1+13,""))</f>
        <v>45394</v>
      </c>
      <c r="AF8" s="14">
        <f>IF(DAY(AprSun1)=1,IF(AND(YEAR(AprSun1+7)=CalendarYear,MONTH(AprSun1+7)=4),AprSun1+7,""),IF(AND(YEAR(AprSun1+14)=CalendarYear,MONTH(AprSun1+14)=4),AprSun1+14,""))</f>
        <v>45395</v>
      </c>
    </row>
    <row r="9" spans="1:33" s="8" customFormat="1" ht="26.1" customHeight="1" thickBot="1" x14ac:dyDescent="0.4">
      <c r="B9" s="49">
        <f>IF(DAY(JanSun1)=1,IF(AND(YEAR(JanSun1+8)=CalendarYear,MONTH(JanSun1+8)=1),JanSun1+8,""),IF(AND(YEAR(JanSun1+15)=CalendarYear,MONTH(JanSun1+15)=1),JanSun1+15,""))</f>
        <v>45305</v>
      </c>
      <c r="C9" s="33">
        <f>IF(DAY(JanSun1)=1,IF(AND(YEAR(JanSun1+9)=CalendarYear,MONTH(JanSun1+9)=1),JanSun1+9,""),IF(AND(YEAR(JanSun1+16)=CalendarYear,MONTH(JanSun1+16)=1),JanSun1+16,""))</f>
        <v>45306</v>
      </c>
      <c r="D9" s="32">
        <f>IF(DAY(JanSun1)=1,IF(AND(YEAR(JanSun1+10)=CalendarYear,MONTH(JanSun1+10)=1),JanSun1+10,""),IF(AND(YEAR(JanSun1+17)=CalendarYear,MONTH(JanSun1+17)=1),JanSun1+17,""))</f>
        <v>45307</v>
      </c>
      <c r="E9" s="32">
        <f>IF(DAY(JanSun1)=1,IF(AND(YEAR(JanSun1+11)=CalendarYear,MONTH(JanSun1+11)=1),JanSun1+11,""),IF(AND(YEAR(JanSun1+18)=CalendarYear,MONTH(JanSun1+18)=1),JanSun1+18,""))</f>
        <v>45308</v>
      </c>
      <c r="F9" s="39">
        <f>IF(DAY(JanSun1)=1,IF(AND(YEAR(JanSun1+12)=CalendarYear,MONTH(JanSun1+12)=1),JanSun1+12,""),IF(AND(YEAR(JanSun1+19)=CalendarYear,MONTH(JanSun1+19)=1),JanSun1+19,""))</f>
        <v>45309</v>
      </c>
      <c r="G9" s="39">
        <v>19</v>
      </c>
      <c r="H9" s="49">
        <f>IF(DAY(JanSun1)=1,IF(AND(YEAR(JanSun1+14)=CalendarYear,MONTH(JanSun1+14)=1),JanSun1+14,""),IF(AND(YEAR(JanSun1+21)=CalendarYear,MONTH(JanSun1+21)=1),JanSun1+21,""))</f>
        <v>45311</v>
      </c>
      <c r="J9" s="49">
        <f>IF(DAY(FebSun1)=1,IF(AND(YEAR(FebSun1+8)=CalendarYear,MONTH(FebSun1+8)=2),FebSun1+8,""),IF(AND(YEAR(FebSun1+15)=CalendarYear,MONTH(FebSun1+15)=2),FebSun1+15,""))</f>
        <v>45333</v>
      </c>
      <c r="K9" s="128">
        <f>IF(DAY(FebSun1)=1,IF(AND(YEAR(FebSun1+9)=CalendarYear,MONTH(FebSun1+9)=2),FebSun1+9,""),IF(AND(YEAR(FebSun1+16)=CalendarYear,MONTH(FebSun1+16)=2),FebSun1+16,""))</f>
        <v>45334</v>
      </c>
      <c r="L9" s="44">
        <f>IF(DAY(FebSun1)=1,IF(AND(YEAR(FebSun1+10)=CalendarYear,MONTH(FebSun1+10)=2),FebSun1+10,""),IF(AND(YEAR(FebSun1+17)=CalendarYear,MONTH(FebSun1+17)=2),FebSun1+17,""))</f>
        <v>45335</v>
      </c>
      <c r="M9" s="44">
        <f>IF(DAY(FebSun1)=1,IF(AND(YEAR(FebSun1+11)=CalendarYear,MONTH(FebSun1+11)=2),FebSun1+11,""),IF(AND(YEAR(FebSun1+18)=CalendarYear,MONTH(FebSun1+18)=2),FebSun1+18,""))</f>
        <v>45336</v>
      </c>
      <c r="N9" s="48">
        <f>IF(DAY(FebSun1)=1,IF(AND(YEAR(FebSun1+12)=CalendarYear,MONTH(FebSun1+12)=2),FebSun1+12,""),IF(AND(YEAR(FebSun1+19)=CalendarYear,MONTH(FebSun1+19)=2),FebSun1+19,""))</f>
        <v>45337</v>
      </c>
      <c r="O9" s="48">
        <f>IF(DAY(FebSun1)=1,IF(AND(YEAR(FebSun1+13)=CalendarYear,MONTH(FebSun1+13)=2),FebSun1+13,""),IF(AND(YEAR(FebSun1+20)=CalendarYear,MONTH(FebSun1+20)=2),FebSun1+20,""))</f>
        <v>45338</v>
      </c>
      <c r="P9" s="11">
        <f>IF(DAY(FebSun1)=1,IF(AND(YEAR(FebSun1+14)=CalendarYear,MONTH(FebSun1+14)=2),FebSun1+14,""),IF(AND(YEAR(FebSun1+21)=CalendarYear,MONTH(FebSun1+21)=2),FebSun1+21,""))</f>
        <v>45339</v>
      </c>
      <c r="R9" s="13">
        <f>IF(DAY(MarSun1)=1,IF(AND(YEAR(MarSun1+8)=CalendarYear,MONTH(MarSun1+8)=3),MarSun1+8,""),IF(AND(YEAR(MarSun1+15)=CalendarYear,MONTH(MarSun1+15)=3),MarSun1+15,""))</f>
        <v>45361</v>
      </c>
      <c r="S9" s="128">
        <f>IF(DAY(MarSun1)=1,IF(AND(YEAR(MarSun1+9)=CalendarYear,MONTH(MarSun1+9)=3),MarSun1+9,""),IF(AND(YEAR(MarSun1+16)=CalendarYear,MONTH(MarSun1+16)=3),MarSun1+16,""))</f>
        <v>45362</v>
      </c>
      <c r="T9" s="44">
        <f>IF(DAY(MarSun1)=1,IF(AND(YEAR(MarSun1+10)=CalendarYear,MONTH(MarSun1+10)=3),MarSun1+10,""),IF(AND(YEAR(MarSun1+17)=CalendarYear,MONTH(MarSun1+17)=3),MarSun1+17,""))</f>
        <v>45363</v>
      </c>
      <c r="U9" s="44">
        <f>IF(DAY(MarSun1)=1,IF(AND(YEAR(MarSun1+11)=CalendarYear,MONTH(MarSun1+11)=3),MarSun1+11,""),IF(AND(YEAR(MarSun1+18)=CalendarYear,MONTH(MarSun1+18)=3),MarSun1+18,""))</f>
        <v>45364</v>
      </c>
      <c r="V9" s="48">
        <f>IF(DAY(MarSun1)=1,IF(AND(YEAR(MarSun1+12)=CalendarYear,MONTH(MarSun1+12)=3),MarSun1+12,""),IF(AND(YEAR(MarSun1+19)=CalendarYear,MONTH(MarSun1+19)=3),MarSun1+19,""))</f>
        <v>45365</v>
      </c>
      <c r="W9" s="48">
        <f>IF(DAY(MarSun1)=1,IF(AND(YEAR(MarSun1+13)=CalendarYear,MONTH(MarSun1+13)=3),MarSun1+13,""),IF(AND(YEAR(MarSun1+20)=CalendarYear,MONTH(MarSun1+20)=3),MarSun1+20,""))</f>
        <v>45366</v>
      </c>
      <c r="X9" s="13">
        <f>IF(DAY(MarSun1)=1,IF(AND(YEAR(MarSun1+14)=CalendarYear,MONTH(MarSun1+14)=3),MarSun1+14,""),IF(AND(YEAR(MarSun1+21)=CalendarYear,MONTH(MarSun1+21)=3),MarSun1+21,""))</f>
        <v>45367</v>
      </c>
      <c r="Z9" s="112">
        <f>IF(DAY(AprSun1)=1,IF(AND(YEAR(AprSun1+8)=CalendarYear,MONTH(AprSun1+8)=4),AprSun1+8,""),IF(AND(YEAR(AprSun1+15)=CalendarYear,MONTH(AprSun1+15)=4),AprSun1+15,""))</f>
        <v>45396</v>
      </c>
      <c r="AA9" s="138">
        <f>IF(DAY(AugSun1)=1,IF(AND(YEAR(AugSun1+12)=CalendarYear,MONTH(AugSun1+12)=8),AugSun1+12,""),IF(AND(YEAR(AugSun1+19)=CalendarYear,MONTH(AugSun1+19)=8),AugSun1+19,""))</f>
        <v>45519</v>
      </c>
      <c r="AB9" s="91">
        <f>IF(DAY(AprSun1)=1,IF(AND(YEAR(AprSun1+10)=CalendarYear,MONTH(AprSun1+10)=4),AprSun1+10,""),IF(AND(YEAR(AprSun1+17)=CalendarYear,MONTH(AprSun1+17)=4),AprSun1+17,""))</f>
        <v>45398</v>
      </c>
      <c r="AC9" s="44">
        <f>IF(DAY(AprSun1)=1,IF(AND(YEAR(AprSun1+11)=CalendarYear,MONTH(AprSun1+11)=4),AprSun1+11,""),IF(AND(YEAR(AprSun1+18)=CalendarYear,MONTH(AprSun1+18)=4),AprSun1+18,""))</f>
        <v>45399</v>
      </c>
      <c r="AD9" s="48">
        <f>IF(DAY(AprSun1)=1,IF(AND(YEAR(AprSun1+12)=CalendarYear,MONTH(AprSun1+12)=4),AprSun1+12,""),IF(AND(YEAR(AprSun1+19)=CalendarYear,MONTH(AprSun1+19)=4),AprSun1+19,""))</f>
        <v>45400</v>
      </c>
      <c r="AE9" s="48">
        <f>IF(DAY(AprSun1)=1,IF(AND(YEAR(AprSun1+13)=CalendarYear,MONTH(AprSun1+13)=4),AprSun1+13,""),IF(AND(YEAR(AprSun1+20)=CalendarYear,MONTH(AprSun1+20)=4),AprSun1+20,""))</f>
        <v>45401</v>
      </c>
      <c r="AF9" s="13">
        <f>IF(DAY(AprSun1)=1,IF(AND(YEAR(AprSun1+14)=CalendarYear,MONTH(AprSun1+14)=4),AprSun1+14,""),IF(AND(YEAR(AprSun1+21)=CalendarYear,MONTH(AprSun1+21)=4),AprSun1+21,""))</f>
        <v>45402</v>
      </c>
    </row>
    <row r="10" spans="1:33" s="8" customFormat="1" ht="26.1" customHeight="1" thickBot="1" x14ac:dyDescent="0.4">
      <c r="B10" s="14">
        <f>IF(DAY(JanSun1)=1,IF(AND(YEAR(JanSun1+15)=CalendarYear,MONTH(JanSun1+15)=1),JanSun1+15,""),IF(AND(YEAR(JanSun1+22)=CalendarYear,MONTH(JanSun1+22)=1),JanSun1+22,""))</f>
        <v>45312</v>
      </c>
      <c r="C10" s="41">
        <f>IF(DAY(JanSun1)=1,IF(AND(YEAR(JanSun1+16)=CalendarYear,MONTH(JanSun1+16)=1),JanSun1+16,""),IF(AND(YEAR(JanSun1+23)=CalendarYear,MONTH(JanSun1+23)=1),JanSun1+23,""))</f>
        <v>45313</v>
      </c>
      <c r="D10" s="41">
        <f>IF(DAY(JanSun1)=1,IF(AND(YEAR(JanSun1+17)=CalendarYear,MONTH(JanSun1+17)=1),JanSun1+17,""),IF(AND(YEAR(JanSun1+24)=CalendarYear,MONTH(JanSun1+24)=1),JanSun1+24,""))</f>
        <v>45314</v>
      </c>
      <c r="E10" s="42">
        <f>IF(DAY(JanSun1)=1,IF(AND(YEAR(JanSun1+18)=CalendarYear,MONTH(JanSun1+18)=1),JanSun1+18,""),IF(AND(YEAR(JanSun1+25)=CalendarYear,MONTH(JanSun1+25)=1),JanSun1+25,""))</f>
        <v>45315</v>
      </c>
      <c r="F10" s="83">
        <f>IF(DAY(JanSun1)=1,IF(AND(YEAR(JanSun1+19)=CalendarYear,MONTH(JanSun1+19)=1),JanSun1+19,""),IF(AND(YEAR(JanSun1+26)=CalendarYear,MONTH(JanSun1+26)=1),JanSun1+26,""))</f>
        <v>45316</v>
      </c>
      <c r="G10" s="29">
        <v>26</v>
      </c>
      <c r="H10" s="13">
        <f>IF(DAY(JanSun1)=1,IF(AND(YEAR(JanSun1+21)=CalendarYear,MONTH(JanSun1+21)=1),JanSun1+21,""),IF(AND(YEAR(JanSun1+28)=CalendarYear,MONTH(JanSun1+28)=1),JanSun1+28,""))</f>
        <v>45318</v>
      </c>
      <c r="J10" s="136">
        <f>IF(DAY(FebSun1)=1,IF(AND(YEAR(FebSun1+15)=CalendarYear,MONTH(FebSun1+15)=2),FebSun1+15,""),IF(AND(YEAR(FebSun1+22)=CalendarYear,MONTH(FebSun1+22)=2),FebSun1+22,""))</f>
        <v>45340</v>
      </c>
      <c r="K10" s="130">
        <f>IF(DAY(FebSun1)=1,IF(AND(YEAR(FebSun1+16)=CalendarYear,MONTH(FebSun1+16)=2),FebSun1+16,""),IF(AND(YEAR(FebSun1+23)=CalendarYear,MONTH(FebSun1+23)=2),FebSun1+23,""))</f>
        <v>45341</v>
      </c>
      <c r="L10" s="137">
        <f>IF(DAY(FebSun1)=1,IF(AND(YEAR(FebSun1+17)=CalendarYear,MONTH(FebSun1+17)=2),FebSun1+17,""),IF(AND(YEAR(FebSun1+24)=CalendarYear,MONTH(FebSun1+24)=2),FebSun1+24,""))</f>
        <v>45342</v>
      </c>
      <c r="M10" s="42">
        <f>IF(DAY(FebSun1)=1,IF(AND(YEAR(FebSun1+18)=CalendarYear,MONTH(FebSun1+18)=2),FebSun1+18,""),IF(AND(YEAR(FebSun1+25)=CalendarYear,MONTH(FebSun1+25)=2),FebSun1+25,""))</f>
        <v>45343</v>
      </c>
      <c r="N10" s="43">
        <f>IF(DAY(FebSun1)=1,IF(AND(YEAR(FebSun1+19)=CalendarYear,MONTH(FebSun1+19)=2),FebSun1+19,""),IF(AND(YEAR(FebSun1+26)=CalendarYear,MONTH(FebSun1+26)=2),FebSun1+26,""))</f>
        <v>45344</v>
      </c>
      <c r="O10" s="42">
        <f>IF(DAY(FebSun1)=1,IF(AND(YEAR(FebSun1+20)=CalendarYear,MONTH(FebSun1+20)=2),FebSun1+20,""),IF(AND(YEAR(FebSun1+27)=CalendarYear,MONTH(FebSun1+27)=2),FebSun1+27,""))</f>
        <v>45345</v>
      </c>
      <c r="P10" s="13">
        <f>IF(DAY(FebSun1)=1,IF(AND(YEAR(FebSun1+21)=CalendarYear,MONTH(FebSun1+21)=2),FebSun1+21,""),IF(AND(YEAR(FebSun1+28)=CalendarYear,MONTH(FebSun1+28)=2),FebSun1+28,""))</f>
        <v>45346</v>
      </c>
      <c r="R10" s="136">
        <f>IF(DAY(MarSun1)=1,IF(AND(YEAR(MarSun1+15)=CalendarYear,MONTH(MarSun1+15)=3),MarSun1+15,""),IF(AND(YEAR(MarSun1+22)=CalendarYear,MONTH(MarSun1+22)=3),MarSun1+22,""))</f>
        <v>45368</v>
      </c>
      <c r="S10" s="130">
        <f>IF(DAY(MarSun1)=1,IF(AND(YEAR(MarSun1+16)=CalendarYear,MONTH(MarSun1+16)=3),MarSun1+16,""),IF(AND(YEAR(MarSun1+23)=CalendarYear,MONTH(MarSun1+23)=3),MarSun1+23,""))</f>
        <v>45369</v>
      </c>
      <c r="T10" s="137">
        <f>IF(DAY(MarSun1)=1,IF(AND(YEAR(MarSun1+17)=CalendarYear,MONTH(MarSun1+17)=3),MarSun1+17,""),IF(AND(YEAR(MarSun1+24)=CalendarYear,MONTH(MarSun1+24)=3),MarSun1+24,""))</f>
        <v>45370</v>
      </c>
      <c r="U10" s="42">
        <f>IF(DAY(MarSun1)=1,IF(AND(YEAR(MarSun1+18)=CalendarYear,MONTH(MarSun1+18)=3),MarSun1+18,""),IF(AND(YEAR(MarSun1+25)=CalendarYear,MONTH(MarSun1+25)=3),MarSun1+25,""))</f>
        <v>45371</v>
      </c>
      <c r="V10" s="43">
        <f>IF(DAY(MarSun1)=1,IF(AND(YEAR(MarSun1+19)=CalendarYear,MONTH(MarSun1+19)=3),MarSun1+19,""),IF(AND(YEAR(MarSun1+26)=CalendarYear,MONTH(MarSun1+26)=3),MarSun1+26,""))</f>
        <v>45372</v>
      </c>
      <c r="W10" s="42">
        <f>IF(DAY(MarSun1)=1,IF(AND(YEAR(MarSun1+20)=CalendarYear,MONTH(MarSun1+20)=3),MarSun1+20,""),IF(AND(YEAR(MarSun1+27)=CalendarYear,MONTH(MarSun1+27)=3),MarSun1+27,""))</f>
        <v>45373</v>
      </c>
      <c r="X10" s="13">
        <f>IF(DAY(MarSun1)=1,IF(AND(YEAR(MarSun1+21)=CalendarYear,MONTH(MarSun1+21)=3),MarSun1+21,""),IF(AND(YEAR(MarSun1+28)=CalendarYear,MONTH(MarSun1+28)=3),MarSun1+28,""))</f>
        <v>45374</v>
      </c>
      <c r="Z10" s="136">
        <f>IF(DAY(AprSun1)=1,IF(AND(YEAR(AprSun1+15)=CalendarYear,MONTH(AprSun1+15)=4),AprSun1+15,""),IF(AND(YEAR(AprSun1+22)=CalendarYear,MONTH(AprSun1+22)=4),AprSun1+22,""))</f>
        <v>45403</v>
      </c>
      <c r="AA10" s="130">
        <f>IF(DAY(AprSun1)=1,IF(AND(YEAR(AprSun1+16)=CalendarYear,MONTH(AprSun1+16)=4),AprSun1+16,""),IF(AND(YEAR(AprSun1+23)=CalendarYear,MONTH(AprSun1+23)=4),AprSun1+23,""))</f>
        <v>45404</v>
      </c>
      <c r="AB10" s="137">
        <f>IF(DAY(AprSun1)=1,IF(AND(YEAR(AprSun1+17)=CalendarYear,MONTH(AprSun1+17)=4),AprSun1+17,""),IF(AND(YEAR(AprSun1+24)=CalendarYear,MONTH(AprSun1+24)=4),AprSun1+24,""))</f>
        <v>45405</v>
      </c>
      <c r="AC10" s="42">
        <f>IF(DAY(AprSun1)=1,IF(AND(YEAR(AprSun1+18)=CalendarYear,MONTH(AprSun1+18)=4),AprSun1+18,""),IF(AND(YEAR(AprSun1+25)=CalendarYear,MONTH(AprSun1+25)=4),AprSun1+25,""))</f>
        <v>45406</v>
      </c>
      <c r="AD10" s="29">
        <f>IF(DAY(AprSun1)=1,IF(AND(YEAR(AprSun1+19)=CalendarYear,MONTH(AprSun1+19)=4),AprSun1+19,""),IF(AND(YEAR(AprSun1+26)=CalendarYear,MONTH(AprSun1+26)=4),AprSun1+26,""))</f>
        <v>45407</v>
      </c>
      <c r="AE10" s="13">
        <f>IF(DAY(AprSun1)=1,IF(AND(YEAR(AprSun1+20)=CalendarYear,MONTH(AprSun1+20)=4),AprSun1+20,""),IF(AND(YEAR(AprSun1+27)=CalendarYear,MONTH(AprSun1+27)=4),AprSun1+27,""))</f>
        <v>45408</v>
      </c>
      <c r="AF10" s="13">
        <f>IF(DAY(AprSun1)=1,IF(AND(YEAR(AprSun1+21)=CalendarYear,MONTH(AprSun1+21)=4),AprSun1+21,""),IF(AND(YEAR(AprSun1+28)=CalendarYear,MONTH(AprSun1+28)=4),AprSun1+28,""))</f>
        <v>45409</v>
      </c>
    </row>
    <row r="11" spans="1:33" s="8" customFormat="1" ht="26.1" customHeight="1" x14ac:dyDescent="0.35">
      <c r="B11" s="12">
        <f>IF(DAY(JanSun1)=1,IF(AND(YEAR(JanSun1+22)=CalendarYear,MONTH(JanSun1+22)=1),JanSun1+22,""),IF(AND(YEAR(JanSun1+29)=CalendarYear,MONTH(JanSun1+29)=1),JanSun1+29,""))</f>
        <v>45319</v>
      </c>
      <c r="C11" s="44">
        <f>IF(DAY(JanSun1)=1,IF(AND(YEAR(JanSun1+23)=CalendarYear,MONTH(JanSun1+23)=1),JanSun1+23,""),IF(AND(YEAR(JanSun1+30)=CalendarYear,MONTH(JanSun1+30)=1),JanSun1+30,""))</f>
        <v>45320</v>
      </c>
      <c r="D11" s="45">
        <f>IF(DAY(JanSun1)=1,IF(AND(YEAR(JanSun1+24)=CalendarYear,MONTH(JanSun1+24)=1),JanSun1+24,""),IF(AND(YEAR(JanSun1+31)=CalendarYear,MONTH(JanSun1+31)=1),JanSun1+31,""))</f>
        <v>45321</v>
      </c>
      <c r="E11" s="45">
        <f>IF(DAY(JanSun1)=1,IF(AND(YEAR(JanSun1+25)=CalendarYear,MONTH(JanSun1+25)=1),JanSun1+25,""),IF(AND(YEAR(JanSun1+32)=CalendarYear,MONTH(JanSun1+32)=1),JanSun1+32,""))</f>
        <v>45322</v>
      </c>
      <c r="F11" s="15" t="str">
        <f>IF(DAY(JanSun1)=1,IF(AND(YEAR(JanSun1+26)=CalendarYear,MONTH(JanSun1+26)=1),JanSun1+26,""),IF(AND(YEAR(JanSun1+33)=CalendarYear,MONTH(JanSun1+33)=1),JanSun1+33,""))</f>
        <v/>
      </c>
      <c r="G11" s="15"/>
      <c r="H11" s="16" t="str">
        <f>IF(DAY(JanSun1)=1,IF(AND(YEAR(JanSun1+28)=CalendarYear,MONTH(JanSun1+28)=1),JanSun1+28,""),IF(AND(YEAR(JanSun1+35)=CalendarYear,MONTH(JanSun1+35)=1),JanSun1+35,""))</f>
        <v/>
      </c>
      <c r="J11" s="12">
        <f>IF(DAY(FebSun1)=1,IF(AND(YEAR(FebSun1+22)=CalendarYear,MONTH(FebSun1+22)=2),FebSun1+22,""),IF(AND(YEAR(FebSun1+29)=CalendarYear,MONTH(FebSun1+29)=2),FebSun1+29,""))</f>
        <v>45347</v>
      </c>
      <c r="K11" s="123">
        <f>IF(DAY(FebSun1)=1,IF(AND(YEAR(FebSun1+23)=CalendarYear,MONTH(FebSun1+23)=2),FebSun1+23,""),IF(AND(YEAR(FebSun1+30)=CalendarYear,MONTH(FebSun1+30)=2),FebSun1+30,""))</f>
        <v>45348</v>
      </c>
      <c r="L11" s="45">
        <f>IF(DAY(FebSun1)=1,IF(AND(YEAR(FebSun1+24)=CalendarYear,MONTH(FebSun1+24)=2),FebSun1+24,""),IF(AND(YEAR(FebSun1+31)=CalendarYear,MONTH(FebSun1+31)=2),FebSun1+31,""))</f>
        <v>45349</v>
      </c>
      <c r="M11" s="45">
        <f>IF(DAY(FebSun1)=1,IF(AND(YEAR(FebSun1+25)=CalendarYear,MONTH(FebSun1+25)=2),FebSun1+25,""),IF(AND(YEAR(FebSun1+32)=CalendarYear,MONTH(FebSun1+32)=2),FebSun1+32,""))</f>
        <v>45350</v>
      </c>
      <c r="N11" s="45">
        <f>IF(DAY(FebSun1)=1,IF(AND(YEAR(FebSun1+26)=CalendarYear,MONTH(FebSun1+26)=2),FebSun1+26,""),IF(AND(YEAR(FebSun1+33)=CalendarYear,MONTH(FebSun1+33)=2),FebSun1+33,""))</f>
        <v>45351</v>
      </c>
      <c r="O11" s="16" t="str">
        <f>IF(DAY(FebSun1)=1,IF(AND(YEAR(FebSun1+27)=CalendarYear,MONTH(FebSun1+27)=2),FebSun1+27,""),IF(AND(YEAR(FebSun1+34)=CalendarYear,MONTH(FebSun1+34)=2),FebSun1+34,""))</f>
        <v/>
      </c>
      <c r="P11" s="16" t="str">
        <f>IF(DAY(FebSun1)=1,IF(AND(YEAR(FebSun1+28)=CalendarYear,MONTH(FebSun1+28)=2),FebSun1+28,""),IF(AND(YEAR(FebSun1+35)=CalendarYear,MONTH(FebSun1+35)=2),FebSun1+35,""))</f>
        <v/>
      </c>
      <c r="R11" s="12">
        <f>IF(DAY(MarSun1)=1,IF(AND(YEAR(MarSun1+22)=CalendarYear,MONTH(MarSun1+22)=3),MarSun1+22,""),IF(AND(YEAR(MarSun1+29)=CalendarYear,MONTH(MarSun1+29)=3),MarSun1+29,""))</f>
        <v>45375</v>
      </c>
      <c r="S11" s="123">
        <f>IF(DAY(MarSun1)=1,IF(AND(YEAR(MarSun1+23)=CalendarYear,MONTH(MarSun1+23)=3),MarSun1+23,""),IF(AND(YEAR(MarSun1+30)=CalendarYear,MONTH(MarSun1+30)=3),MarSun1+30,""))</f>
        <v>45376</v>
      </c>
      <c r="T11" s="45">
        <f>IF(DAY(MarSun1)=1,IF(AND(YEAR(MarSun1+24)=CalendarYear,MONTH(MarSun1+24)=3),MarSun1+24,""),IF(AND(YEAR(MarSun1+31)=CalendarYear,MONTH(MarSun1+31)=3),MarSun1+31,""))</f>
        <v>45377</v>
      </c>
      <c r="U11" s="45">
        <f>IF(DAY(MarSun1)=1,IF(AND(YEAR(MarSun1+25)=CalendarYear,MONTH(MarSun1+25)=3),MarSun1+25,""),IF(AND(YEAR(MarSun1+32)=CalendarYear,MONTH(MarSun1+32)=3),MarSun1+32,""))</f>
        <v>45378</v>
      </c>
      <c r="V11" s="45">
        <f>IF(DAY(MarSun1)=1,IF(AND(YEAR(MarSun1+26)=CalendarYear,MONTH(MarSun1+26)=3),MarSun1+26,""),IF(AND(YEAR(MarSun1+33)=CalendarYear,MONTH(MarSun1+33)=3),MarSun1+33,""))</f>
        <v>45379</v>
      </c>
      <c r="W11" s="70">
        <f>IF(DAY(MarSun1)=1,IF(AND(YEAR(MarSun1+27)=CalendarYear,MONTH(MarSun1+27)=3),MarSun1+27,""),IF(AND(YEAR(MarSun1+34)=CalendarYear,MONTH(MarSun1+34)=3),MarSun1+34,""))</f>
        <v>45380</v>
      </c>
      <c r="X11" s="69">
        <f>IF(DAY(MarSun1)=1,IF(AND(YEAR(MarSun1+28)=CalendarYear,MONTH(MarSun1+28)=3),MarSun1+28,""),IF(AND(YEAR(MarSun1+35)=CalendarYear,MONTH(MarSun1+35)=3),MarSun1+35,""))</f>
        <v>45381</v>
      </c>
      <c r="Z11" s="12">
        <f>IF(DAY(AprSun1)=1,IF(AND(YEAR(AprSun1+22)=CalendarYear,MONTH(AprSun1+22)=4),AprSun1+22,""),IF(AND(YEAR(AprSun1+29)=CalendarYear,MONTH(AprSun1+29)=4),AprSun1+29,""))</f>
        <v>45410</v>
      </c>
      <c r="AA11" s="123">
        <f>IF(DAY(AprSun1)=1,IF(AND(YEAR(AprSun1+23)=CalendarYear,MONTH(AprSun1+23)=4),AprSun1+23,""),IF(AND(YEAR(AprSun1+30)=CalendarYear,MONTH(AprSun1+30)=4),AprSun1+30,""))</f>
        <v>45411</v>
      </c>
      <c r="AB11" s="45">
        <f>IF(DAY(AprSun1)=1,IF(AND(YEAR(AprSun1+24)=CalendarYear,MONTH(AprSun1+24)=4),AprSun1+24,""),IF(AND(YEAR(AprSun1+31)=CalendarYear,MONTH(AprSun1+31)=4),AprSun1+31,""))</f>
        <v>45412</v>
      </c>
      <c r="AC11" s="15" t="str">
        <f>IF(DAY(AprSun1)=1,IF(AND(YEAR(AprSun1+25)=CalendarYear,MONTH(AprSun1+25)=4),AprSun1+25,""),IF(AND(YEAR(AprSun1+32)=CalendarYear,MONTH(AprSun1+32)=4),AprSun1+32,""))</f>
        <v/>
      </c>
      <c r="AD11" s="15" t="str">
        <f>IF(DAY(AprSun1)=1,IF(AND(YEAR(AprSun1+26)=CalendarYear,MONTH(AprSun1+26)=4),AprSun1+26,""),IF(AND(YEAR(AprSun1+33)=CalendarYear,MONTH(AprSun1+33)=4),AprSun1+33,""))</f>
        <v/>
      </c>
      <c r="AE11" s="16" t="str">
        <f>IF(DAY(AprSun1)=1,IF(AND(YEAR(AprSun1+27)=CalendarYear,MONTH(AprSun1+27)=4),AprSun1+27,""),IF(AND(YEAR(AprSun1+34)=CalendarYear,MONTH(AprSun1+34)=4),AprSun1+34,""))</f>
        <v/>
      </c>
      <c r="AF11" s="16" t="str">
        <f>IF(DAY(AprSun1)=1,IF(AND(YEAR(AprSun1+28)=CalendarYear,MONTH(AprSun1+28)=4),AprSun1+28,""),IF(AND(YEAR(AprSun1+35)=CalendarYear,MONTH(AprSun1+35)=4),AprSun1+35,""))</f>
        <v/>
      </c>
    </row>
    <row r="12" spans="1:33" s="7" customFormat="1" ht="18" customHeight="1" x14ac:dyDescent="0.35">
      <c r="Z12" s="150" t="s">
        <v>47</v>
      </c>
      <c r="AA12" s="150"/>
      <c r="AB12" s="150"/>
      <c r="AC12" s="150"/>
      <c r="AD12" s="150"/>
    </row>
    <row r="13" spans="1:33" s="7" customFormat="1" ht="12.6" customHeight="1" x14ac:dyDescent="0.35"/>
    <row r="14" spans="1:33" s="21" customFormat="1" ht="25.5" customHeight="1" x14ac:dyDescent="0.35">
      <c r="B14" s="24" t="s">
        <v>11</v>
      </c>
      <c r="C14" s="24"/>
      <c r="D14" s="24"/>
      <c r="E14" s="24"/>
      <c r="F14" s="24"/>
      <c r="G14" s="24"/>
      <c r="H14" s="24"/>
      <c r="J14" s="24" t="s">
        <v>12</v>
      </c>
      <c r="K14" s="24"/>
      <c r="L14" s="24"/>
      <c r="M14" s="24"/>
      <c r="N14" s="24"/>
      <c r="O14" s="24"/>
      <c r="P14" s="24"/>
      <c r="R14" s="24" t="s">
        <v>13</v>
      </c>
      <c r="S14" s="24"/>
      <c r="T14" s="24"/>
      <c r="U14" s="24"/>
      <c r="V14" s="24"/>
      <c r="W14" s="24"/>
      <c r="X14" s="24"/>
      <c r="Z14" s="24" t="s">
        <v>14</v>
      </c>
      <c r="AA14" s="24"/>
      <c r="AB14" s="24"/>
      <c r="AC14" s="24"/>
      <c r="AD14" s="24"/>
      <c r="AE14" s="24"/>
      <c r="AF14" s="24"/>
    </row>
    <row r="15" spans="1:33" s="6" customFormat="1" ht="26.1" customHeight="1" x14ac:dyDescent="0.3">
      <c r="B15" s="17" t="s">
        <v>0</v>
      </c>
      <c r="C15" s="18" t="s">
        <v>3</v>
      </c>
      <c r="D15" s="18" t="s">
        <v>4</v>
      </c>
      <c r="E15" s="18" t="s">
        <v>5</v>
      </c>
      <c r="F15" s="18" t="s">
        <v>6</v>
      </c>
      <c r="G15" s="80" t="s">
        <v>27</v>
      </c>
      <c r="H15" s="19" t="s">
        <v>1</v>
      </c>
      <c r="J15" s="17" t="s">
        <v>0</v>
      </c>
      <c r="K15" s="18" t="s">
        <v>3</v>
      </c>
      <c r="L15" s="18" t="s">
        <v>4</v>
      </c>
      <c r="M15" s="18" t="s">
        <v>5</v>
      </c>
      <c r="N15" s="18" t="s">
        <v>6</v>
      </c>
      <c r="O15" s="18" t="s">
        <v>7</v>
      </c>
      <c r="P15" s="19" t="s">
        <v>1</v>
      </c>
      <c r="R15" s="17" t="s">
        <v>0</v>
      </c>
      <c r="S15" s="18" t="s">
        <v>3</v>
      </c>
      <c r="T15" s="18" t="s">
        <v>4</v>
      </c>
      <c r="U15" s="18" t="s">
        <v>5</v>
      </c>
      <c r="V15" s="18" t="s">
        <v>6</v>
      </c>
      <c r="W15" s="18" t="s">
        <v>7</v>
      </c>
      <c r="X15" s="19" t="s">
        <v>1</v>
      </c>
      <c r="Z15" s="17" t="s">
        <v>0</v>
      </c>
      <c r="AA15" s="18" t="s">
        <v>3</v>
      </c>
      <c r="AB15" s="18" t="s">
        <v>4</v>
      </c>
      <c r="AC15" s="18" t="s">
        <v>5</v>
      </c>
      <c r="AD15" s="18" t="s">
        <v>6</v>
      </c>
      <c r="AE15" s="18" t="s">
        <v>7</v>
      </c>
      <c r="AF15" s="19" t="s">
        <v>1</v>
      </c>
    </row>
    <row r="16" spans="1:33" s="8" customFormat="1" ht="26.1" customHeight="1" thickBot="1" x14ac:dyDescent="0.4">
      <c r="B16" s="9" t="str">
        <f>IF(DAY(MaySun1)=1,"",IF(AND(YEAR(MaySun1+1)=CalendarYear,MONTH(MaySun1+1)=5),MaySun1+1,""))</f>
        <v/>
      </c>
      <c r="C16" s="9" t="str">
        <f>IF(DAY(MaySun1)=1,"",IF(AND(YEAR(MaySun1+2)=CalendarYear,MONTH(MaySun1+2)=5),MaySun1+2,""))</f>
        <v/>
      </c>
      <c r="D16" s="10" t="str">
        <f>IF(DAY(MaySun1)=1,"",IF(AND(YEAR(MaySun1+3)=CalendarYear,MONTH(MaySun1+3)=5),MaySun1+3,""))</f>
        <v/>
      </c>
      <c r="E16" s="46">
        <f>IF(DAY(MaySun1)=1,"",IF(AND(YEAR(MaySun1+4)=CalendarYear,MONTH(MaySun1+4)=5),MaySun1+4,""))</f>
        <v>45413</v>
      </c>
      <c r="F16" s="46">
        <f>IF(DAY(MaySun1)=1,"",IF(AND(YEAR(MaySun1+5)=CalendarYear,MONTH(MaySun1+5)=5),MaySun1+5,""))</f>
        <v>45414</v>
      </c>
      <c r="G16" s="46">
        <v>3</v>
      </c>
      <c r="H16" s="11">
        <f>IF(DAY(MaySun1)=1,IF(AND(YEAR(MaySun1)=CalendarYear,MONTH(MaySun1)=5),MaySun1,""),IF(AND(YEAR(MaySun1+7)=CalendarYear,MONTH(MaySun1+7)=5),MaySun1+7,""))</f>
        <v>45416</v>
      </c>
      <c r="J16" s="9">
        <v>30</v>
      </c>
      <c r="K16" s="9" t="str">
        <f>IF(DAY(JunSun1)=1,"",IF(AND(YEAR(JunSun1+2)=CalendarYear,MONTH(JunSun1+2)=6),JunSun1+2,""))</f>
        <v/>
      </c>
      <c r="L16" s="10" t="str">
        <f>IF(DAY(JunSun1)=1,"",IF(AND(YEAR(JunSun1+3)=CalendarYear,MONTH(JunSun1+3)=6),JunSun1+3,""))</f>
        <v/>
      </c>
      <c r="M16" s="10" t="str">
        <f>IF(DAY(JunSun1)=1,"",IF(AND(YEAR(JunSun1+4)=CalendarYear,MONTH(JunSun1+4)=6),JunSun1+4,""))</f>
        <v/>
      </c>
      <c r="N16" s="10" t="str">
        <f>IF(DAY(JunSun1)=1,"",IF(AND(YEAR(JunSun1+5)=CalendarYear,MONTH(JunSun1+5)=6),JunSun1+5,""))</f>
        <v/>
      </c>
      <c r="O16" s="11" t="str">
        <f>IF(DAY(JunSun1)=1,"",IF(AND(YEAR(JunSun1+6)=CalendarYear,MONTH(JunSun1+6)=6),JunSun1+6,""))</f>
        <v/>
      </c>
      <c r="P16" s="11">
        <f>IF(DAY(JunSun1)=1,IF(AND(YEAR(JunSun1)=CalendarYear,MONTH(JunSun1)=6),JunSun1,""),IF(AND(YEAR(JunSun1+7)=CalendarYear,MONTH(JunSun1+7)=6),JunSun1+7,""))</f>
        <v>45444</v>
      </c>
      <c r="R16" s="9" t="str">
        <f>IF(DAY(JulSun1)=1,"",IF(AND(YEAR(JulSun1+1)=CalendarYear,MONTH(JulSun1+1)=7),JulSun1+1,""))</f>
        <v/>
      </c>
      <c r="S16" s="117">
        <f>IF(DAY(JulSun1)=1,"",IF(AND(YEAR(JulSun1+2)=CalendarYear,MONTH(JulSun1+2)=7),JulSun1+2,""))</f>
        <v>45474</v>
      </c>
      <c r="T16" s="30">
        <f>IF(DAY(JulSun1)=1,"",IF(AND(YEAR(JulSun1+3)=CalendarYear,MONTH(JulSun1+3)=7),JulSun1+3,""))</f>
        <v>45475</v>
      </c>
      <c r="U16" s="30">
        <f>IF(DAY(JulSun1)=1,"",IF(AND(YEAR(JulSun1+4)=CalendarYear,MONTH(JulSun1+4)=7),JulSun1+4,""))</f>
        <v>45476</v>
      </c>
      <c r="V16" s="30">
        <f>IF(DAY(JulSun1)=1,"",IF(AND(YEAR(JulSun1+5)=CalendarYear,MONTH(JulSun1+5)=7),JulSun1+5,""))</f>
        <v>45477</v>
      </c>
      <c r="W16" s="31">
        <f>IF(DAY(JulSun1)=1,"",IF(AND(YEAR(JulSun1+6)=CalendarYear,MONTH(JulSun1+6)=7),JulSun1+6,""))</f>
        <v>45478</v>
      </c>
      <c r="X16" s="11">
        <f>IF(DAY(JulSun1)=1,IF(AND(YEAR(JulSun1)=CalendarYear,MONTH(JulSun1)=7),JulSun1,""),IF(AND(YEAR(JulSun1+7)=CalendarYear,MONTH(JulSun1+7)=7),JulSun1+7,""))</f>
        <v>45479</v>
      </c>
      <c r="Z16" s="9" t="str">
        <f>IF(DAY(AugSun1)=1,"",IF(AND(YEAR(AugSun1+1)=CalendarYear,MONTH(AugSun1+1)=8),AugSun1+1,""))</f>
        <v/>
      </c>
      <c r="AA16" s="119" t="str">
        <f>IF(DAY(AugSun1)=1,"",IF(AND(YEAR(AugSun1+2)=CalendarYear,MONTH(AugSun1+2)=8),AugSun1+2,""))</f>
        <v/>
      </c>
      <c r="AB16" s="10" t="str">
        <f>IF(DAY(AugSun1)=1,"",IF(AND(YEAR(AugSun1+3)=CalendarYear,MONTH(AugSun1+3)=8),AugSun1+3,""))</f>
        <v/>
      </c>
      <c r="AC16" s="10" t="str">
        <f>IF(DAY(AugSun1)=1,"",IF(AND(YEAR(AugSun1+4)=CalendarYear,MONTH(AugSun1+4)=8),AugSun1+4,""))</f>
        <v/>
      </c>
      <c r="AD16" s="46">
        <f>IF(DAY(AugSun1)=1,"",IF(AND(YEAR(AugSun1+5)=CalendarYear,MONTH(AugSun1+5)=8),AugSun1+5,""))</f>
        <v>45505</v>
      </c>
      <c r="AE16" s="47">
        <f>IF(DAY(AugSun1)=1,"",IF(AND(YEAR(AugSun1+6)=CalendarYear,MONTH(AugSun1+6)=8),AugSun1+6,""))</f>
        <v>45506</v>
      </c>
      <c r="AF16" s="71">
        <f>IF(DAY(AugSun1)=1,IF(AND(YEAR(AugSun1)=CalendarYear,MONTH(AugSun1)=8),AugSun1,""),IF(AND(YEAR(AugSun1+7)=CalendarYear,MONTH(AugSun1+7)=8),AugSun1+7,""))</f>
        <v>45507</v>
      </c>
    </row>
    <row r="17" spans="2:32" s="8" customFormat="1" ht="26.1" customHeight="1" thickBot="1" x14ac:dyDescent="0.4">
      <c r="B17" s="12">
        <f>IF(DAY(MaySun1)=1,IF(AND(YEAR(MaySun1+1)=CalendarYear,MONTH(MaySun1+1)=5),MaySun1+1,""),IF(AND(YEAR(MaySun1+8)=CalendarYear,MONTH(MaySun1+8)=5),MaySun1+8,""))</f>
        <v>45417</v>
      </c>
      <c r="C17" s="114">
        <f>IF(DAY(MaySun1)=1,IF(AND(YEAR(MaySun1+2)=CalendarYear,MONTH(MaySun1+2)=5),MaySun1+2,""),IF(AND(YEAR(MaySun1+9)=CalendarYear,MONTH(MaySun1+9)=5),MaySun1+9,""))</f>
        <v>45418</v>
      </c>
      <c r="D17" s="44">
        <f>IF(DAY(MaySun1)=1,IF(AND(YEAR(MaySun1+3)=CalendarYear,MONTH(MaySun1+3)=5),MaySun1+3,""),IF(AND(YEAR(MaySun1+10)=CalendarYear,MONTH(MaySun1+10)=5),MaySun1+10,""))</f>
        <v>45419</v>
      </c>
      <c r="E17" s="42">
        <f>IF(DAY(MaySun1)=1,IF(AND(YEAR(MaySun1+4)=CalendarYear,MONTH(MaySun1+4)=5),MaySun1+4,""),IF(AND(YEAR(MaySun1+11)=CalendarYear,MONTH(MaySun1+11)=5),MaySun1+11,""))</f>
        <v>45420</v>
      </c>
      <c r="F17" s="42">
        <f>IF(DAY(MaySun1)=1,IF(AND(YEAR(MaySun1+5)=CalendarYear,MONTH(MaySun1+5)=5),MaySun1+5,""),IF(AND(YEAR(MaySun1+12)=CalendarYear,MONTH(MaySun1+12)=5),MaySun1+12,""))</f>
        <v>45421</v>
      </c>
      <c r="G17" s="42">
        <v>10</v>
      </c>
      <c r="H17" s="14">
        <f>IF(DAY(MaySun1)=1,IF(AND(YEAR(MaySun1+7)=CalendarYear,MONTH(MaySun1+7)=5),MaySun1+7,""),IF(AND(YEAR(MaySun1+14)=CalendarYear,MONTH(MaySun1+14)=5),MaySun1+14,""))</f>
        <v>45423</v>
      </c>
      <c r="J17" s="12">
        <f>IF(DAY(JunSun1)=1,IF(AND(YEAR(JunSun1+1)=CalendarYear,MONTH(JunSun1+1)=6),JunSun1+1,""),IF(AND(YEAR(JunSun1+8)=CalendarYear,MONTH(JunSun1+8)=6),JunSun1+8,""))</f>
        <v>45445</v>
      </c>
      <c r="K17" s="116">
        <f>IF(DAY(JunSun1)=1,IF(AND(YEAR(JunSun1+2)=CalendarYear,MONTH(JunSun1+2)=6),JunSun1+2,""),IF(AND(YEAR(JunSun1+9)=CalendarYear,MONTH(JunSun1+9)=6),JunSun1+9,""))</f>
        <v>45446</v>
      </c>
      <c r="L17" s="44">
        <f>IF(DAY(JunSun1)=1,IF(AND(YEAR(JunSun1+3)=CalendarYear,MONTH(JunSun1+3)=6),JunSun1+3,""),IF(AND(YEAR(JunSun1+10)=CalendarYear,MONTH(JunSun1+10)=6),JunSun1+10,""))</f>
        <v>45447</v>
      </c>
      <c r="M17" s="42">
        <f>IF(DAY(JunSun1)=1,IF(AND(YEAR(JunSun1+4)=CalendarYear,MONTH(JunSun1+4)=6),JunSun1+4,""),IF(AND(YEAR(JunSun1+11)=CalendarYear,MONTH(JunSun1+11)=6),JunSun1+11,""))</f>
        <v>45448</v>
      </c>
      <c r="N17" s="42">
        <f>IF(DAY(JunSun1)=1,IF(AND(YEAR(JunSun1+5)=CalendarYear,MONTH(JunSun1+5)=6),JunSun1+5,""),IF(AND(YEAR(JunSun1+12)=CalendarYear,MONTH(JunSun1+12)=6),JunSun1+12,""))</f>
        <v>45449</v>
      </c>
      <c r="O17" s="41">
        <f>IF(DAY(JunSun1)=1,IF(AND(YEAR(JunSun1+6)=CalendarYear,MONTH(JunSun1+6)=6),JunSun1+6,""),IF(AND(YEAR(JunSun1+13)=CalendarYear,MONTH(JunSun1+13)=6),JunSun1+13,""))</f>
        <v>45450</v>
      </c>
      <c r="P17" s="14">
        <f>IF(DAY(JunSun1)=1,IF(AND(YEAR(JunSun1+7)=CalendarYear,MONTH(JunSun1+7)=6),JunSun1+7,""),IF(AND(YEAR(JunSun1+14)=CalendarYear,MONTH(JunSun1+14)=6),JunSun1+14,""))</f>
        <v>45451</v>
      </c>
      <c r="R17" s="90">
        <f>IF(DAY(JulSun1)=1,IF(AND(YEAR(JulSun1+1)=CalendarYear,MONTH(JulSun1+1)=7),JulSun1+1,""),IF(AND(YEAR(JulSun1+8)=CalendarYear,MONTH(JulSun1+8)=7),JulSun1+8,""))</f>
        <v>45480</v>
      </c>
      <c r="S17" s="118">
        <f>IF(DAY(JulSun1)=1,IF(AND(YEAR(JulSun1+2)=CalendarYear,MONTH(JulSun1+2)=7),JulSun1+2,""),IF(AND(YEAR(JulSun1+9)=CalendarYear,MONTH(JulSun1+9)=7),JulSun1+9,""))</f>
        <v>45481</v>
      </c>
      <c r="T17" s="91">
        <f>IF(DAY(JulSun1)=1,IF(AND(YEAR(JulSun1+3)=CalendarYear,MONTH(JulSun1+3)=7),JulSun1+3,""),IF(AND(YEAR(JulSun1+10)=CalendarYear,MONTH(JulSun1+10)=7),JulSun1+10,""))</f>
        <v>45482</v>
      </c>
      <c r="U17" s="42">
        <f>IF(DAY(JulSun1)=1,IF(AND(YEAR(JulSun1+4)=CalendarYear,MONTH(JulSun1+4)=7),JulSun1+4,""),IF(AND(YEAR(JulSun1+11)=CalendarYear,MONTH(JulSun1+11)=7),JulSun1+11,""))</f>
        <v>45483</v>
      </c>
      <c r="V17" s="42">
        <f>IF(DAY(JulSun1)=1,IF(AND(YEAR(JulSun1+5)=CalendarYear,MONTH(JulSun1+5)=7),JulSun1+5,""),IF(AND(YEAR(JulSun1+12)=CalendarYear,MONTH(JulSun1+12)=7),JulSun1+12,""))</f>
        <v>45484</v>
      </c>
      <c r="W17" s="41">
        <f>IF(DAY(JulSun1)=1,IF(AND(YEAR(JulSun1+6)=CalendarYear,MONTH(JulSun1+6)=7),JulSun1+6,""),IF(AND(YEAR(JulSun1+13)=CalendarYear,MONTH(JulSun1+13)=7),JulSun1+13,""))</f>
        <v>45485</v>
      </c>
      <c r="X17" s="110">
        <v>13</v>
      </c>
      <c r="Z17" s="90">
        <f>IF(DAY(AugSun1)=1,IF(AND(YEAR(AugSun1+1)=CalendarYear,MONTH(AugSun1+1)=8),AugSun1+1,""),IF(AND(YEAR(AugSun1+8)=CalendarYear,MONTH(AugSun1+8)=8),AugSun1+8,""))</f>
        <v>45508</v>
      </c>
      <c r="AA17" s="118">
        <f>IF(DAY(AugSun1)=1,IF(AND(YEAR(AugSun1+2)=CalendarYear,MONTH(AugSun1+2)=8),AugSun1+2,""),IF(AND(YEAR(AugSun1+9)=CalendarYear,MONTH(AugSun1+9)=8),AugSun1+9,""))</f>
        <v>45509</v>
      </c>
      <c r="AB17" s="91">
        <f>IF(DAY(AugSun1)=1,IF(AND(YEAR(AugSun1+3)=CalendarYear,MONTH(AugSun1+3)=8),AugSun1+3,""),IF(AND(YEAR(AugSun1+10)=CalendarYear,MONTH(AugSun1+10)=8),AugSun1+10,""))</f>
        <v>45510</v>
      </c>
      <c r="AC17" s="42">
        <f>IF(DAY(AugSun1)=1,IF(AND(YEAR(AugSun1+4)=CalendarYear,MONTH(AugSun1+4)=8),AugSun1+4,""),IF(AND(YEAR(AugSun1+11)=CalendarYear,MONTH(AugSun1+11)=8),AugSun1+11,""))</f>
        <v>45511</v>
      </c>
      <c r="AD17" s="42">
        <f>IF(DAY(AugSun1)=1,IF(AND(YEAR(AugSun1+5)=CalendarYear,MONTH(AugSun1+5)=8),AugSun1+5,""),IF(AND(YEAR(AugSun1+12)=CalendarYear,MONTH(AugSun1+12)=8),AugSun1+12,""))</f>
        <v>45512</v>
      </c>
      <c r="AE17" s="41">
        <f>IF(DAY(AugSun1)=1,IF(AND(YEAR(AugSun1+6)=CalendarYear,MONTH(AugSun1+6)=8),AugSun1+6,""),IF(AND(YEAR(AugSun1+13)=CalendarYear,MONTH(AugSun1+13)=8),AugSun1+13,""))</f>
        <v>45513</v>
      </c>
      <c r="AF17" s="14">
        <f>IF(DAY(AugSun1)=1,IF(AND(YEAR(AugSun1+7)=CalendarYear,MONTH(AugSun1+7)=8),AugSun1+7,""),IF(AND(YEAR(AugSun1+14)=CalendarYear,MONTH(AugSun1+14)=8),AugSun1+14,""))</f>
        <v>45514</v>
      </c>
    </row>
    <row r="18" spans="2:32" s="8" customFormat="1" ht="26.1" customHeight="1" thickBot="1" x14ac:dyDescent="0.4">
      <c r="B18" s="113">
        <f>IF(DAY(MaySun1)=1,IF(AND(YEAR(MaySun1+8)=CalendarYear,MONTH(MaySun1+8)=5),MaySun1+8,""),IF(AND(YEAR(MaySun1+15)=CalendarYear,MONTH(MaySun1+15)=5),MaySun1+15,""))</f>
        <v>45424</v>
      </c>
      <c r="C18" s="115">
        <f>IF(DAY(MaySun1)=1,IF(AND(YEAR(MaySun1+9)=CalendarYear,MONTH(MaySun1+9)=5),MaySun1+9,""),IF(AND(YEAR(MaySun1+16)=CalendarYear,MONTH(MaySun1+16)=5),MaySun1+16,""))</f>
        <v>45425</v>
      </c>
      <c r="D18" s="91">
        <f>IF(DAY(MaySun1)=1,IF(AND(YEAR(MaySun1+10)=CalendarYear,MONTH(MaySun1+10)=5),MaySun1+10,""),IF(AND(YEAR(MaySun1+17)=CalendarYear,MONTH(MaySun1+17)=5),MaySun1+17,""))</f>
        <v>45426</v>
      </c>
      <c r="E18" s="106">
        <v>15</v>
      </c>
      <c r="F18" s="48">
        <f>IF(DAY(MaySun1)=1,IF(AND(YEAR(MaySun1+12)=CalendarYear,MONTH(MaySun1+12)=5),MaySun1+12,""),IF(AND(YEAR(MaySun1+19)=CalendarYear,MONTH(MaySun1+19)=5),MaySun1+19,""))</f>
        <v>45428</v>
      </c>
      <c r="G18" s="48">
        <v>17</v>
      </c>
      <c r="H18" s="13">
        <f>IF(DAY(MaySun1)=1,IF(AND(YEAR(MaySun1+14)=CalendarYear,MONTH(MaySun1+14)=5),MaySun1+14,""),IF(AND(YEAR(MaySun1+21)=CalendarYear,MONTH(MaySun1+21)=5),MaySun1+21,""))</f>
        <v>45430</v>
      </c>
      <c r="J18" s="113">
        <f>IF(DAY(JunSun1)=1,IF(AND(YEAR(JunSun1+8)=CalendarYear,MONTH(JunSun1+8)=6),JunSun1+8,""),IF(AND(YEAR(JunSun1+15)=CalendarYear,MONTH(JunSun1+15)=6),JunSun1+15,""))</f>
        <v>45452</v>
      </c>
      <c r="K18" s="115">
        <f>IF(DAY(JunSun1)=1,IF(AND(YEAR(JunSun1+9)=CalendarYear,MONTH(JunSun1+9)=6),JunSun1+9,""),IF(AND(YEAR(JunSun1+16)=CalendarYear,MONTH(JunSun1+16)=6),JunSun1+16,""))</f>
        <v>45453</v>
      </c>
      <c r="L18" s="91">
        <f>IF(DAY(JunSun1)=1,IF(AND(YEAR(JunSun1+10)=CalendarYear,MONTH(JunSun1+10)=6),JunSun1+10,""),IF(AND(YEAR(JunSun1+17)=CalendarYear,MONTH(JunSun1+17)=6),JunSun1+17,""))</f>
        <v>45454</v>
      </c>
      <c r="M18" s="44">
        <f>IF(DAY(JunSun1)=1,IF(AND(YEAR(JunSun1+11)=CalendarYear,MONTH(JunSun1+11)=6),JunSun1+11,""),IF(AND(YEAR(JunSun1+18)=CalendarYear,MONTH(JunSun1+18)=6),JunSun1+18,""))</f>
        <v>45455</v>
      </c>
      <c r="N18" s="48">
        <f>IF(DAY(JunSun1)=1,IF(AND(YEAR(JunSun1+12)=CalendarYear,MONTH(JunSun1+12)=6),JunSun1+12,""),IF(AND(YEAR(JunSun1+19)=CalendarYear,MONTH(JunSun1+19)=6),JunSun1+19,""))</f>
        <v>45456</v>
      </c>
      <c r="O18" s="86">
        <f>IF(DAY(JunSun1)=1,IF(AND(YEAR(JunSun1+13)=CalendarYear,MONTH(JunSun1+13)=6),JunSun1+13,""),IF(AND(YEAR(JunSun1+20)=CalendarYear,MONTH(JunSun1+20)=6),JunSun1+20,""))</f>
        <v>45457</v>
      </c>
      <c r="P18" s="13">
        <f>IF(DAY(JunSun1)=1,IF(AND(YEAR(JunSun1+14)=CalendarYear,MONTH(JunSun1+14)=6),JunSun1+14,""),IF(AND(YEAR(JunSun1+21)=CalendarYear,MONTH(JunSun1+21)=6),JunSun1+21,""))</f>
        <v>45458</v>
      </c>
      <c r="R18" s="13">
        <f>IF(DAY(JulSun1)=1,IF(AND(YEAR(JulSun1+8)=CalendarYear,MONTH(JulSun1+8)=7),JulSun1+8,""),IF(AND(YEAR(JulSun1+15)=CalendarYear,MONTH(JulSun1+15)=7),JulSun1+15,""))</f>
        <v>45487</v>
      </c>
      <c r="S18" s="128">
        <f>IF(DAY(JulSun1)=1,IF(AND(YEAR(JulSun1+9)=CalendarYear,MONTH(JulSun1+9)=7),JulSun1+9,""),IF(AND(YEAR(JulSun1+16)=CalendarYear,MONTH(JulSun1+16)=7),JulSun1+16,""))</f>
        <v>45488</v>
      </c>
      <c r="T18" s="44">
        <f>IF(DAY(JulSun1)=1,IF(AND(YEAR(JulSun1+10)=CalendarYear,MONTH(JulSun1+10)=7),JulSun1+10,""),IF(AND(YEAR(JulSun1+17)=CalendarYear,MONTH(JulSun1+17)=7),JulSun1+17,""))</f>
        <v>45489</v>
      </c>
      <c r="U18" s="44">
        <f>IF(DAY(JulSun1)=1,IF(AND(YEAR(JulSun1+11)=CalendarYear,MONTH(JulSun1+11)=7),JulSun1+11,""),IF(AND(YEAR(JulSun1+18)=CalendarYear,MONTH(JulSun1+18)=7),JulSun1+18,""))</f>
        <v>45490</v>
      </c>
      <c r="V18" s="48">
        <f>IF(DAY(JulSun1)=1,IF(AND(YEAR(JulSun1+12)=CalendarYear,MONTH(JulSun1+12)=7),JulSun1+12,""),IF(AND(YEAR(JulSun1+19)=CalendarYear,MONTH(JulSun1+19)=7),JulSun1+19,""))</f>
        <v>45491</v>
      </c>
      <c r="W18" s="48">
        <f>IF(DAY(JulSun1)=1,IF(AND(YEAR(JulSun1+13)=CalendarYear,MONTH(JulSun1+13)=7),JulSun1+13,""),IF(AND(YEAR(JulSun1+20)=CalendarYear,MONTH(JulSun1+20)=7),JulSun1+20,""))</f>
        <v>45492</v>
      </c>
      <c r="X18" s="13">
        <f>IF(DAY(JulSun1)=1,IF(AND(YEAR(JulSun1+14)=CalendarYear,MONTH(JulSun1+14)=7),JulSun1+14,""),IF(AND(YEAR(JulSun1+21)=CalendarYear,MONTH(JulSun1+21)=7),JulSun1+21,""))</f>
        <v>45493</v>
      </c>
      <c r="Z18" s="13">
        <f>IF(DAY(AugSun1)=1,IF(AND(YEAR(AugSun1+8)=CalendarYear,MONTH(AugSun1+8)=8),AugSun1+8,""),IF(AND(YEAR(AugSun1+15)=CalendarYear,MONTH(AugSun1+15)=8),AugSun1+15,""))</f>
        <v>45515</v>
      </c>
      <c r="AA18" s="128">
        <f>IF(DAY(AugSun1)=1,IF(AND(YEAR(AugSun1+9)=CalendarYear,MONTH(AugSun1+9)=8),AugSun1+9,""),IF(AND(YEAR(AugSun1+16)=CalendarYear,MONTH(AugSun1+16)=8),AugSun1+16,""))</f>
        <v>45516</v>
      </c>
      <c r="AB18" s="44">
        <f>IF(DAY(AugSun1)=1,IF(AND(YEAR(AugSun1+10)=CalendarYear,MONTH(AugSun1+10)=8),AugSun1+10,""),IF(AND(YEAR(AugSun1+17)=CalendarYear,MONTH(AugSun1+17)=8),AugSun1+17,""))</f>
        <v>45517</v>
      </c>
      <c r="AC18" s="44">
        <f>IF(DAY(AugSun1)=1,IF(AND(YEAR(AugSun1+11)=CalendarYear,MONTH(AugSun1+11)=8),AugSun1+11,""),IF(AND(YEAR(AugSun1+18)=CalendarYear,MONTH(AugSun1+18)=8),AugSun1+18,""))</f>
        <v>45518</v>
      </c>
      <c r="AD18" s="48">
        <f>IF(DAY(AugSun1)=1,IF(AND(YEAR(AugSun1+12)=CalendarYear,MONTH(AugSun1+12)=8),AugSun1+12,""),IF(AND(YEAR(AugSun1+19)=CalendarYear,MONTH(AugSun1+19)=8),AugSun1+19,""))</f>
        <v>45519</v>
      </c>
      <c r="AE18" s="48">
        <f>IF(DAY(AugSun1)=1,IF(AND(YEAR(AugSun1+13)=CalendarYear,MONTH(AugSun1+13)=8),AugSun1+13,""),IF(AND(YEAR(AugSun1+20)=CalendarYear,MONTH(AugSun1+20)=8),AugSun1+20,""))</f>
        <v>45520</v>
      </c>
      <c r="AF18" s="13">
        <f>IF(DAY(AugSun1)=1,IF(AND(YEAR(AugSun1+14)=CalendarYear,MONTH(AugSun1+14)=8),AugSun1+14,""),IF(AND(YEAR(AugSun1+21)=CalendarYear,MONTH(AugSun1+21)=8),AugSun1+21,""))</f>
        <v>45521</v>
      </c>
    </row>
    <row r="19" spans="2:32" s="8" customFormat="1" ht="26.1" customHeight="1" thickBot="1" x14ac:dyDescent="0.4">
      <c r="B19" s="14">
        <f>IF(DAY(MaySun1)=1,IF(AND(YEAR(MaySun1+15)=CalendarYear,MONTH(MaySun1+15)=5),MaySun1+15,""),IF(AND(YEAR(MaySun1+22)=CalendarYear,MONTH(MaySun1+22)=5),MaySun1+22,""))</f>
        <v>45431</v>
      </c>
      <c r="C19" s="104">
        <f>IF(DAY(MaySun1)=1,IF(AND(YEAR(MaySun1+16)=CalendarYear,MONTH(MaySun1+16)=5),MaySun1+16,""),IF(AND(YEAR(MaySun1+23)=CalendarYear,MONTH(MaySun1+23)=5),MaySun1+23,""))</f>
        <v>45432</v>
      </c>
      <c r="D19" s="41">
        <f>IF(DAY(MaySun1)=1,IF(AND(YEAR(MaySun1+17)=CalendarYear,MONTH(MaySun1+17)=5),MaySun1+17,""),IF(AND(YEAR(MaySun1+24)=CalendarYear,MONTH(MaySun1+24)=5),MaySun1+24,""))</f>
        <v>45433</v>
      </c>
      <c r="E19" s="42">
        <f>IF(DAY(MaySun1)=1,IF(AND(YEAR(MaySun1+18)=CalendarYear,MONTH(MaySun1+18)=5),MaySun1+18,""),IF(AND(YEAR(MaySun1+25)=CalendarYear,MONTH(MaySun1+25)=5),MaySun1+25,""))</f>
        <v>45434</v>
      </c>
      <c r="F19" s="43">
        <f>IF(DAY(MaySun1)=1,IF(AND(YEAR(MaySun1+19)=CalendarYear,MONTH(MaySun1+19)=5),MaySun1+19,""),IF(AND(YEAR(MaySun1+26)=CalendarYear,MONTH(MaySun1+26)=5),MaySun1+26,""))</f>
        <v>45435</v>
      </c>
      <c r="G19" s="43">
        <v>24</v>
      </c>
      <c r="H19" s="13">
        <f>IF(DAY(MaySun1)=1,IF(AND(YEAR(MaySun1+21)=CalendarYear,MONTH(MaySun1+21)=5),MaySun1+21,""),IF(AND(YEAR(MaySun1+28)=CalendarYear,MONTH(MaySun1+28)=5),MaySun1+28,""))</f>
        <v>45437</v>
      </c>
      <c r="J19" s="14">
        <f>IF(DAY(JunSun1)=1,IF(AND(YEAR(JunSun1+15)=CalendarYear,MONTH(JunSun1+15)=6),JunSun1+15,""),IF(AND(YEAR(JunSun1+22)=CalendarYear,MONTH(JunSun1+22)=6),JunSun1+22,""))</f>
        <v>45459</v>
      </c>
      <c r="K19" s="104">
        <f>IF(DAY(JunSun1)=1,IF(AND(YEAR(JunSun1+16)=CalendarYear,MONTH(JunSun1+16)=6),JunSun1+16,""),IF(AND(YEAR(JunSun1+23)=CalendarYear,MONTH(JunSun1+23)=6),JunSun1+23,""))</f>
        <v>45460</v>
      </c>
      <c r="L19" s="41">
        <f>IF(DAY(JunSun1)=1,IF(AND(YEAR(JunSun1+17)=CalendarYear,MONTH(JunSun1+17)=6),JunSun1+17,""),IF(AND(YEAR(JunSun1+24)=CalendarYear,MONTH(JunSun1+24)=6),JunSun1+24,""))</f>
        <v>45461</v>
      </c>
      <c r="M19" s="42">
        <f>IF(DAY(JunSun1)=1,IF(AND(YEAR(JunSun1+18)=CalendarYear,MONTH(JunSun1+18)=6),JunSun1+18,""),IF(AND(YEAR(JunSun1+25)=CalendarYear,MONTH(JunSun1+25)=6),JunSun1+25,""))</f>
        <v>45462</v>
      </c>
      <c r="N19" s="43">
        <f>IF(DAY(JunSun1)=1,IF(AND(YEAR(JunSun1+19)=CalendarYear,MONTH(JunSun1+19)=6),JunSun1+19,""),IF(AND(YEAR(JunSun1+26)=CalendarYear,MONTH(JunSun1+26)=6),JunSun1+26,""))</f>
        <v>45463</v>
      </c>
      <c r="O19" s="42">
        <f>IF(DAY(JunSun1)=1,IF(AND(YEAR(JunSun1+20)=CalendarYear,MONTH(JunSun1+20)=6),JunSun1+20,""),IF(AND(YEAR(JunSun1+27)=CalendarYear,MONTH(JunSun1+27)=6),JunSun1+27,""))</f>
        <v>45464</v>
      </c>
      <c r="P19" s="13">
        <f>IF(DAY(JunSun1)=1,IF(AND(YEAR(JunSun1+21)=CalendarYear,MONTH(JunSun1+21)=6),JunSun1+21,""),IF(AND(YEAR(JunSun1+28)=CalendarYear,MONTH(JunSun1+28)=6),JunSun1+28,""))</f>
        <v>45465</v>
      </c>
      <c r="R19" s="136">
        <f>IF(DAY(JulSun1)=1,IF(AND(YEAR(JulSun1+15)=CalendarYear,MONTH(JulSun1+15)=7),JulSun1+15,""),IF(AND(YEAR(JulSun1+22)=CalendarYear,MONTH(JulSun1+22)=7),JulSun1+22,""))</f>
        <v>45494</v>
      </c>
      <c r="S19" s="130">
        <f>IF(DAY(JulSun1)=1,IF(AND(YEAR(JulSun1+16)=CalendarYear,MONTH(JulSun1+16)=7),JulSun1+16,""),IF(AND(YEAR(JulSun1+23)=CalendarYear,MONTH(JulSun1+23)=7),JulSun1+23,""))</f>
        <v>45495</v>
      </c>
      <c r="T19" s="137">
        <f>IF(DAY(JulSun1)=1,IF(AND(YEAR(JulSun1+17)=CalendarYear,MONTH(JulSun1+17)=7),JulSun1+17,""),IF(AND(YEAR(JulSun1+24)=CalendarYear,MONTH(JulSun1+24)=7),JulSun1+24,""))</f>
        <v>45496</v>
      </c>
      <c r="U19" s="42">
        <f>IF(DAY(JulSun1)=1,IF(AND(YEAR(JulSun1+18)=CalendarYear,MONTH(JulSun1+18)=7),JulSun1+18,""),IF(AND(YEAR(JulSun1+25)=CalendarYear,MONTH(JulSun1+25)=7),JulSun1+25,""))</f>
        <v>45497</v>
      </c>
      <c r="V19" s="43">
        <f>IF(DAY(JulSun1)=1,IF(AND(YEAR(JulSun1+19)=CalendarYear,MONTH(JulSun1+19)=7),JulSun1+19,""),IF(AND(YEAR(JulSun1+26)=CalendarYear,MONTH(JulSun1+26)=7),JulSun1+26,""))</f>
        <v>45498</v>
      </c>
      <c r="W19" s="42">
        <f>IF(DAY(JulSun1)=1,IF(AND(YEAR(JulSun1+20)=CalendarYear,MONTH(JulSun1+20)=7),JulSun1+20,""),IF(AND(YEAR(JulSun1+27)=CalendarYear,MONTH(JulSun1+27)=7),JulSun1+27,""))</f>
        <v>45499</v>
      </c>
      <c r="X19" s="49">
        <f>IF(DAY(JulSun1)=1,IF(AND(YEAR(JulSun1+21)=CalendarYear,MONTH(JulSun1+21)=7),JulSun1+21,""),IF(AND(YEAR(JulSun1+28)=CalendarYear,MONTH(JulSun1+28)=7),JulSun1+28,""))</f>
        <v>45500</v>
      </c>
      <c r="Z19" s="136">
        <f>IF(DAY(AugSun1)=1,IF(AND(YEAR(AugSun1+15)=CalendarYear,MONTH(AugSun1+15)=8),AugSun1+15,""),IF(AND(YEAR(AugSun1+22)=CalendarYear,MONTH(AugSun1+22)=8),AugSun1+22,""))</f>
        <v>45522</v>
      </c>
      <c r="AA19" s="130">
        <f>IF(DAY(AugSun1)=1,IF(AND(YEAR(AugSun1+16)=CalendarYear,MONTH(AugSun1+16)=8),AugSun1+16,""),IF(AND(YEAR(AugSun1+23)=CalendarYear,MONTH(AugSun1+23)=8),AugSun1+23,""))</f>
        <v>45523</v>
      </c>
      <c r="AB19" s="137">
        <f>IF(DAY(AugSun1)=1,IF(AND(YEAR(AugSun1+17)=CalendarYear,MONTH(AugSun1+17)=8),AugSun1+17,""),IF(AND(YEAR(AugSun1+24)=CalendarYear,MONTH(AugSun1+24)=8),AugSun1+24,""))</f>
        <v>45524</v>
      </c>
      <c r="AC19" s="42">
        <f>IF(DAY(AugSun1)=1,IF(AND(YEAR(AugSun1+18)=CalendarYear,MONTH(AugSun1+18)=8),AugSun1+18,""),IF(AND(YEAR(AugSun1+25)=CalendarYear,MONTH(AugSun1+25)=8),AugSun1+25,""))</f>
        <v>45525</v>
      </c>
      <c r="AD19" s="43">
        <f>IF(DAY(AugSun1)=1,IF(AND(YEAR(AugSun1+19)=CalendarYear,MONTH(AugSun1+19)=8),AugSun1+19,""),IF(AND(YEAR(AugSun1+26)=CalendarYear,MONTH(AugSun1+26)=8),AugSun1+26,""))</f>
        <v>45526</v>
      </c>
      <c r="AE19" s="42">
        <f>IF(DAY(AugSun1)=1,IF(AND(YEAR(AugSun1+20)=CalendarYear,MONTH(AugSun1+20)=8),AugSun1+20,""),IF(AND(YEAR(AugSun1+27)=CalendarYear,MONTH(AugSun1+27)=8),AugSun1+27,""))</f>
        <v>45527</v>
      </c>
      <c r="AF19" s="13">
        <f>IF(DAY(AugSun1)=1,IF(AND(YEAR(AugSun1+21)=CalendarYear,MONTH(AugSun1+21)=8),AugSun1+21,""),IF(AND(YEAR(AugSun1+28)=CalendarYear,MONTH(AugSun1+28)=8),AugSun1+28,""))</f>
        <v>45528</v>
      </c>
    </row>
    <row r="20" spans="2:32" s="8" customFormat="1" ht="26.1" customHeight="1" thickBot="1" x14ac:dyDescent="0.4">
      <c r="B20" s="90">
        <f>IF(DAY(MaySun1)=1,IF(AND(YEAR(MaySun1+22)=CalendarYear,MONTH(MaySun1+22)=5),MaySun1+22,""),IF(AND(YEAR(MaySun1+29)=CalendarYear,MONTH(MaySun1+29)=5),MaySun1+29,""))</f>
        <v>45438</v>
      </c>
      <c r="C20" s="93">
        <f>IF(DAY(MaySun1)=1,IF(AND(YEAR(MaySun1+23)=CalendarYear,MONTH(MaySun1+23)=5),MaySun1+23,""),IF(AND(YEAR(MaySun1+30)=CalendarYear,MONTH(MaySun1+30)=5),MaySun1+30,""))</f>
        <v>45439</v>
      </c>
      <c r="D20" s="139">
        <f>IF(DAY(MaySun1)=1,IF(AND(YEAR(MaySun1+24)=CalendarYear,MONTH(MaySun1+24)=5),MaySun1+24,""),IF(AND(YEAR(MaySun1+31)=CalendarYear,MONTH(MaySun1+31)=5),MaySun1+31,""))</f>
        <v>45440</v>
      </c>
      <c r="E20" s="45">
        <f>IF(DAY(MaySun1)=1,IF(AND(YEAR(MaySun1+25)=CalendarYear,MONTH(MaySun1+25)=5),MaySun1+25,""),IF(AND(YEAR(MaySun1+32)=CalendarYear,MONTH(MaySun1+32)=5),MaySun1+32,""))</f>
        <v>45441</v>
      </c>
      <c r="F20" s="45">
        <f>IF(DAY(MaySun1)=1,IF(AND(YEAR(MaySun1+26)=CalendarYear,MONTH(MaySun1+26)=5),MaySun1+26,""),IF(AND(YEAR(MaySun1+33)=CalendarYear,MONTH(MaySun1+33)=5),MaySun1+33,""))</f>
        <v>45442</v>
      </c>
      <c r="G20" s="94">
        <v>31</v>
      </c>
      <c r="H20" s="16" t="str">
        <f>IF(DAY(MaySun1)=1,IF(AND(YEAR(MaySun1+28)=CalendarYear,MONTH(MaySun1+28)=5),MaySun1+28,""),IF(AND(YEAR(MaySun1+35)=CalendarYear,MONTH(MaySun1+35)=5),MaySun1+35,""))</f>
        <v/>
      </c>
      <c r="J20" s="90">
        <f>IF(DAY(JunSun1)=1,IF(AND(YEAR(JunSun1+22)=CalendarYear,MONTH(JunSun1+22)=6),JunSun1+22,""),IF(AND(YEAR(JunSun1+29)=CalendarYear,MONTH(JunSun1+29)=6),JunSun1+29,""))</f>
        <v>45466</v>
      </c>
      <c r="K20" s="135">
        <f>IF(DAY(JunSun1)=1,IF(AND(YEAR(JunSun1+23)=CalendarYear,MONTH(JunSun1+23)=6),JunSun1+23,""),IF(AND(YEAR(JunSun1+30)=CalendarYear,MONTH(JunSun1+30)=6),JunSun1+30,""))</f>
        <v>45467</v>
      </c>
      <c r="L20" s="140">
        <f>IF(DAY(JunSun1)=1,IF(AND(YEAR(JunSun1+24)=CalendarYear,MONTH(JunSun1+24)=6),JunSun1+24,""),IF(AND(YEAR(JunSun1+31)=CalendarYear,MONTH(JunSun1+31)=6),JunSun1+31,""))</f>
        <v>45468</v>
      </c>
      <c r="M20" s="37">
        <f>IF(DAY(JunSun1)=1,IF(AND(YEAR(JunSun1+25)=CalendarYear,MONTH(JunSun1+25)=6),JunSun1+25,""),IF(AND(YEAR(JunSun1+32)=CalendarYear,MONTH(JunSun1+32)=6),JunSun1+32,""))</f>
        <v>45469</v>
      </c>
      <c r="N20" s="37">
        <f>IF(DAY(JunSun1)=1,IF(AND(YEAR(JunSun1+26)=CalendarYear,MONTH(JunSun1+26)=6),JunSun1+26,""),IF(AND(YEAR(JunSun1+33)=CalendarYear,MONTH(JunSun1+33)=6),JunSun1+33,""))</f>
        <v>45470</v>
      </c>
      <c r="O20" s="73">
        <f>IF(DAY(JunSun1)=1,IF(AND(YEAR(JunSun1+27)=CalendarYear,MONTH(JunSun1+27)=6),JunSun1+27,""),IF(AND(YEAR(JunSun1+34)=CalendarYear,MONTH(JunSun1+34)=6),JunSun1+34,""))</f>
        <v>45471</v>
      </c>
      <c r="P20" s="16">
        <f>IF(DAY(JunSun1)=1,IF(AND(YEAR(JunSun1+28)=CalendarYear,MONTH(JunSun1+28)=6),JunSun1+28,""),IF(AND(YEAR(JunSun1+35)=CalendarYear,MONTH(JunSun1+35)=6),JunSun1+35,""))</f>
        <v>45472</v>
      </c>
      <c r="R20" s="12">
        <f>IF(DAY(JulSun1)=1,IF(AND(YEAR(JulSun1+22)=CalendarYear,MONTH(JulSun1+22)=7),JulSun1+22,""),IF(AND(YEAR(JulSun1+29)=CalendarYear,MONTH(JulSun1+29)=7),JulSun1+29,""))</f>
        <v>45501</v>
      </c>
      <c r="S20" s="123">
        <f>IF(DAY(JulSun1)=1,IF(AND(YEAR(JulSun1+23)=CalendarYear,MONTH(JulSun1+23)=7),JulSun1+23,""),IF(AND(YEAR(JulSun1+30)=CalendarYear,MONTH(JulSun1+30)=7),JulSun1+30,""))</f>
        <v>45502</v>
      </c>
      <c r="T20" s="45">
        <f>IF(DAY(JulSun1)=1,IF(AND(YEAR(JulSun1+24)=CalendarYear,MONTH(JulSun1+24)=7),JulSun1+24,""),IF(AND(YEAR(JulSun1+31)=CalendarYear,MONTH(JulSun1+31)=7),JulSun1+31,""))</f>
        <v>45503</v>
      </c>
      <c r="U20" s="45">
        <f>IF(DAY(JulSun1)=1,IF(AND(YEAR(JulSun1+25)=CalendarYear,MONTH(JulSun1+25)=7),JulSun1+25,""),IF(AND(YEAR(JulSun1+32)=CalendarYear,MONTH(JulSun1+32)=7),JulSun1+32,""))</f>
        <v>45504</v>
      </c>
      <c r="V20" s="15" t="str">
        <f>IF(DAY(JulSun1)=1,IF(AND(YEAR(JulSun1+26)=CalendarYear,MONTH(JulSun1+26)=7),JulSun1+26,""),IF(AND(YEAR(JulSun1+33)=CalendarYear,MONTH(JulSun1+33)=7),JulSun1+33,""))</f>
        <v/>
      </c>
      <c r="W20" s="16" t="str">
        <f>IF(DAY(JulSun1)=1,IF(AND(YEAR(JulSun1+27)=CalendarYear,MONTH(JulSun1+27)=7),JulSun1+27,""),IF(AND(YEAR(JulSun1+34)=CalendarYear,MONTH(JulSun1+34)=7),JulSun1+34,""))</f>
        <v/>
      </c>
      <c r="X20" s="16" t="str">
        <f>IF(DAY(JulSun1)=1,IF(AND(YEAR(JulSun1+28)=CalendarYear,MONTH(JulSun1+28)=7),JulSun1+28,""),IF(AND(YEAR(JulSun1+35)=CalendarYear,MONTH(JulSun1+35)=7),JulSun1+35,""))</f>
        <v/>
      </c>
      <c r="Z20" s="12">
        <f>IF(DAY(AugSun1)=1,IF(AND(YEAR(AugSun1+22)=CalendarYear,MONTH(AugSun1+22)=8),AugSun1+22,""),IF(AND(YEAR(AugSun1+29)=CalendarYear,MONTH(AugSun1+29)=8),AugSun1+29,""))</f>
        <v>45529</v>
      </c>
      <c r="AA20" s="123">
        <f>IF(DAY(AugSun1)=1,IF(AND(YEAR(AugSun1+23)=CalendarYear,MONTH(AugSun1+23)=8),AugSun1+23,""),IF(AND(YEAR(AugSun1+30)=CalendarYear,MONTH(AugSun1+30)=8),AugSun1+30,""))</f>
        <v>45530</v>
      </c>
      <c r="AB20" s="45">
        <f>IF(DAY(AugSun1)=1,IF(AND(YEAR(AugSun1+24)=CalendarYear,MONTH(AugSun1+24)=8),AugSun1+24,""),IF(AND(YEAR(AugSun1+31)=CalendarYear,MONTH(AugSun1+31)=8),AugSun1+31,""))</f>
        <v>45531</v>
      </c>
      <c r="AC20" s="45">
        <f>IF(DAY(AugSun1)=1,IF(AND(YEAR(AugSun1+25)=CalendarYear,MONTH(AugSun1+25)=8),AugSun1+25,""),IF(AND(YEAR(AugSun1+32)=CalendarYear,MONTH(AugSun1+32)=8),AugSun1+32,""))</f>
        <v>45532</v>
      </c>
      <c r="AD20" s="45">
        <f>IF(DAY(AugSun1)=1,IF(AND(YEAR(AugSun1+26)=CalendarYear,MONTH(AugSun1+26)=8),AugSun1+26,""),IF(AND(YEAR(AugSun1+33)=CalendarYear,MONTH(AugSun1+33)=8),AugSun1+33,""))</f>
        <v>45533</v>
      </c>
      <c r="AE20" s="74">
        <f>IF(DAY(AugSun1)=1,IF(AND(YEAR(AugSun1+27)=CalendarYear,MONTH(AugSun1+27)=8),AugSun1+27,""),IF(AND(YEAR(AugSun1+34)=CalendarYear,MONTH(AugSun1+34)=8),AugSun1+34,""))</f>
        <v>45534</v>
      </c>
      <c r="AF20" s="16">
        <f>IF(DAY(AugSun1)=1,IF(AND(YEAR(AugSun1+28)=CalendarYear,MONTH(AugSun1+28)=8),AugSun1+28,""),IF(AND(YEAR(AugSun1+35)=CalendarYear,MONTH(AugSun1+35)=8),AugSun1+35,""))</f>
        <v>45535</v>
      </c>
    </row>
    <row r="21" spans="2:32" s="7" customFormat="1" ht="15.6" customHeight="1" x14ac:dyDescent="0.35"/>
    <row r="22" spans="2:32" s="21" customFormat="1" ht="25.5" customHeight="1" x14ac:dyDescent="0.35">
      <c r="B22" s="24" t="s">
        <v>15</v>
      </c>
      <c r="C22" s="24"/>
      <c r="D22" s="24"/>
      <c r="E22" s="24"/>
      <c r="F22" s="24"/>
      <c r="G22" s="24"/>
      <c r="H22" s="24"/>
      <c r="J22" s="24" t="s">
        <v>16</v>
      </c>
      <c r="K22" s="24"/>
      <c r="L22" s="24"/>
      <c r="M22" s="24"/>
      <c r="N22" s="24"/>
      <c r="O22" s="24"/>
      <c r="P22" s="24"/>
      <c r="R22" s="24" t="s">
        <v>17</v>
      </c>
      <c r="S22" s="24"/>
      <c r="T22" s="24"/>
      <c r="U22" s="24"/>
      <c r="V22" s="24"/>
      <c r="W22" s="24"/>
      <c r="X22" s="24"/>
      <c r="Z22" s="24" t="s">
        <v>18</v>
      </c>
      <c r="AA22" s="24"/>
      <c r="AB22" s="24"/>
      <c r="AC22" s="24"/>
      <c r="AD22" s="24"/>
      <c r="AE22" s="24"/>
      <c r="AF22" s="24"/>
    </row>
    <row r="23" spans="2:32" s="6" customFormat="1" ht="26.1" customHeight="1" thickBot="1" x14ac:dyDescent="0.35">
      <c r="B23" s="17" t="s">
        <v>0</v>
      </c>
      <c r="C23" s="122" t="s">
        <v>3</v>
      </c>
      <c r="D23" s="18" t="s">
        <v>4</v>
      </c>
      <c r="E23" s="18" t="s">
        <v>5</v>
      </c>
      <c r="F23" s="18" t="s">
        <v>6</v>
      </c>
      <c r="G23" s="80" t="s">
        <v>27</v>
      </c>
      <c r="H23" s="19" t="s">
        <v>1</v>
      </c>
      <c r="J23" s="17" t="s">
        <v>0</v>
      </c>
      <c r="K23" s="18" t="s">
        <v>3</v>
      </c>
      <c r="L23" s="18" t="s">
        <v>4</v>
      </c>
      <c r="M23" s="18" t="s">
        <v>5</v>
      </c>
      <c r="N23" s="18" t="s">
        <v>6</v>
      </c>
      <c r="O23" s="18" t="s">
        <v>7</v>
      </c>
      <c r="P23" s="19" t="s">
        <v>1</v>
      </c>
      <c r="R23" s="17" t="s">
        <v>0</v>
      </c>
      <c r="S23" s="18" t="s">
        <v>3</v>
      </c>
      <c r="T23" s="18" t="s">
        <v>4</v>
      </c>
      <c r="U23" s="18" t="s">
        <v>5</v>
      </c>
      <c r="V23" s="18" t="s">
        <v>6</v>
      </c>
      <c r="W23" s="18" t="s">
        <v>7</v>
      </c>
      <c r="X23" s="19" t="s">
        <v>1</v>
      </c>
      <c r="Z23" s="17" t="s">
        <v>0</v>
      </c>
      <c r="AA23" s="18" t="s">
        <v>3</v>
      </c>
      <c r="AB23" s="18" t="s">
        <v>4</v>
      </c>
      <c r="AC23" s="18" t="s">
        <v>5</v>
      </c>
      <c r="AD23" s="18" t="s">
        <v>6</v>
      </c>
      <c r="AE23" s="18" t="s">
        <v>7</v>
      </c>
      <c r="AF23" s="19" t="s">
        <v>1</v>
      </c>
    </row>
    <row r="24" spans="2:32" s="8" customFormat="1" ht="26.1" customHeight="1" thickBot="1" x14ac:dyDescent="0.4">
      <c r="B24" s="120">
        <f>IF(DAY(SepSun1)=1,"",IF(AND(YEAR(SepSun1+1)=CalendarYear,MONTH(SepSun1+1)=9),SepSun1+1,""))</f>
        <v>45536</v>
      </c>
      <c r="C24" s="124">
        <f>IF(DAY(SepSun1)=1,"",IF(AND(YEAR(SepSun1+2)=CalendarYear,MONTH(SepSun1+2)=9),SepSun1+2,""))</f>
        <v>45537</v>
      </c>
      <c r="D24" s="121">
        <f>IF(DAY(SepSun1)=1,"",IF(AND(YEAR(SepSun1+3)=CalendarYear,MONTH(SepSun1+3)=9),SepSun1+3,""))</f>
        <v>45538</v>
      </c>
      <c r="E24" s="104">
        <f>IF(DAY(SepSun1)=1,"",IF(AND(YEAR(SepSun1+4)=CalendarYear,MONTH(SepSun1+4)=9),SepSun1+4,""))</f>
        <v>45539</v>
      </c>
      <c r="F24" s="46">
        <f>IF(DAY(SepSun1)=1,"",IF(AND(YEAR(SepSun1+5)=CalendarYear,MONTH(SepSun1+5)=9),SepSun1+5,""))</f>
        <v>45540</v>
      </c>
      <c r="G24" s="46">
        <v>6</v>
      </c>
      <c r="H24" s="11">
        <f>IF(DAY(SepSun1)=1,IF(AND(YEAR(SepSun1)=CalendarYear,MONTH(SepSun1)=9),SepSun1,""),IF(AND(YEAR(SepSun1+7)=CalendarYear,MONTH(SepSun1+7)=9),SepSun1+7,""))</f>
        <v>45542</v>
      </c>
      <c r="J24" s="9" t="str">
        <f>IF(DAY(OctSun1)=1,"",IF(AND(YEAR(OctSun1+1)=CalendarYear,MONTH(OctSun1+1)=10),OctSun1+1,""))</f>
        <v/>
      </c>
      <c r="K24" s="9" t="str">
        <f>IF(DAY(OctSun1)=1,"",IF(AND(YEAR(OctSun1+2)=CalendarYear,MONTH(OctSun1+2)=10),OctSun1+2,""))</f>
        <v/>
      </c>
      <c r="L24" s="46">
        <f>IF(DAY(OctSun1)=1,"",IF(AND(YEAR(OctSun1+3)=CalendarYear,MONTH(OctSun1+3)=10),OctSun1+3,""))</f>
        <v>45566</v>
      </c>
      <c r="M24" s="46">
        <f>IF(DAY(OctSun1)=1,"",IF(AND(YEAR(OctSun1+4)=CalendarYear,MONTH(OctSun1+4)=10),OctSun1+4,""))</f>
        <v>45567</v>
      </c>
      <c r="N24" s="46">
        <f>IF(DAY(OctSun1)=1,"",IF(AND(YEAR(OctSun1+5)=CalendarYear,MONTH(OctSun1+5)=10),OctSun1+5,""))</f>
        <v>45568</v>
      </c>
      <c r="O24" s="47">
        <f>IF(DAY(OctSun1)=1,"",IF(AND(YEAR(OctSun1+6)=CalendarYear,MONTH(OctSun1+6)=10),OctSun1+6,""))</f>
        <v>45569</v>
      </c>
      <c r="P24" s="11">
        <f>IF(DAY(OctSun1)=1,IF(AND(YEAR(OctSun1)=CalendarYear,MONTH(OctSun1)=10),OctSun1,""),IF(AND(YEAR(OctSun1+7)=CalendarYear,MONTH(OctSun1+7)=10),OctSun1+7,""))</f>
        <v>45570</v>
      </c>
      <c r="R24" s="9" t="str">
        <f>IF(DAY(NovSun1)=1,"",IF(AND(YEAR(NovSun1+1)=CalendarYear,MONTH(NovSun1+1)=11),NovSun1+1,""))</f>
        <v/>
      </c>
      <c r="S24" s="9" t="str">
        <f>IF(DAY(NovSun1)=1,"",IF(AND(YEAR(NovSun1+2)=CalendarYear,MONTH(NovSun1+2)=11),NovSun1+2,""))</f>
        <v/>
      </c>
      <c r="T24" s="10" t="str">
        <f>IF(DAY(NovSun1)=1,"",IF(AND(YEAR(NovSun1+3)=CalendarYear,MONTH(NovSun1+3)=11),NovSun1+3,""))</f>
        <v/>
      </c>
      <c r="U24" s="10" t="str">
        <f>IF(DAY(NovSun1)=1,"",IF(AND(YEAR(NovSun1+4)=CalendarYear,MONTH(NovSun1+4)=11),NovSun1+4,""))</f>
        <v/>
      </c>
      <c r="V24" s="10" t="str">
        <f>IF(DAY(NovSun1)=1,"",IF(AND(YEAR(NovSun1+5)=CalendarYear,MONTH(NovSun1+5)=11),NovSun1+5,""))</f>
        <v/>
      </c>
      <c r="W24" s="47">
        <f>IF(DAY(NovSun1)=1,"",IF(AND(YEAR(NovSun1+6)=CalendarYear,MONTH(NovSun1+6)=11),NovSun1+6,""))</f>
        <v>45597</v>
      </c>
      <c r="X24" s="11">
        <f>IF(DAY(NovSun1)=1,IF(AND(YEAR(NovSun1)=CalendarYear,MONTH(NovSun1)=11),NovSun1,""),IF(AND(YEAR(NovSun1+7)=CalendarYear,MONTH(NovSun1+7)=11),NovSun1+7,""))</f>
        <v>45598</v>
      </c>
      <c r="Z24" s="9">
        <f>IF(DAY(DecSun1)=1,"",IF(AND(YEAR(DecSun1+1)=CalendarYear,MONTH(DecSun1+1)=12),DecSun1+1,""))</f>
        <v>45627</v>
      </c>
      <c r="AA24" s="75">
        <f>IF(DAY(DecSun1)=1,"",IF(AND(YEAR(DecSun1+2)=CalendarYear,MONTH(DecSun1+2)=12),DecSun1+2,""))</f>
        <v>45628</v>
      </c>
      <c r="AB24" s="46">
        <f>IF(DAY(DecSun1)=1,"",IF(AND(YEAR(DecSun1+3)=CalendarYear,MONTH(DecSun1+3)=12),DecSun1+3,""))</f>
        <v>45629</v>
      </c>
      <c r="AC24" s="46">
        <f>IF(DAY(DecSun1)=1,"",IF(AND(YEAR(DecSun1+4)=CalendarYear,MONTH(DecSun1+4)=12),DecSun1+4,""))</f>
        <v>45630</v>
      </c>
      <c r="AD24" s="104">
        <f>IF(DAY(DecSun1)=1,"",IF(AND(YEAR(DecSun1+5)=CalendarYear,MONTH(DecSun1+5)=12),DecSun1+5,""))</f>
        <v>45631</v>
      </c>
      <c r="AE24" s="47">
        <f>IF(DAY(DecSun1)=1,"",IF(AND(YEAR(DecSun1+6)=CalendarYear,MONTH(DecSun1+6)=12),DecSun1+6,""))</f>
        <v>45632</v>
      </c>
      <c r="AF24" s="11">
        <f>IF(DAY(DecSun1)=1,IF(AND(YEAR(DecSun1)=CalendarYear,MONTH(DecSun1)=12),DecSun1,""),IF(AND(YEAR(DecSun1+7)=CalendarYear,MONTH(DecSun1+7)=12),DecSun1+7,""))</f>
        <v>45633</v>
      </c>
    </row>
    <row r="25" spans="2:32" s="8" customFormat="1" ht="26.1" customHeight="1" thickBot="1" x14ac:dyDescent="0.4">
      <c r="B25" s="12">
        <f>IF(DAY(SepSun1)=1,IF(AND(YEAR(SepSun1+1)=CalendarYear,MONTH(SepSun1+1)=9),SepSun1+1,""),IF(AND(YEAR(SepSun1+8)=CalendarYear,MONTH(SepSun1+8)=9),SepSun1+8,""))</f>
        <v>45543</v>
      </c>
      <c r="C25" s="141">
        <f>IF(DAY(SepSun1)=1,IF(AND(YEAR(SepSun1+2)=CalendarYear,MONTH(SepSun1+2)=9),SepSun1+2,""),IF(AND(YEAR(SepSun1+9)=CalendarYear,MONTH(SepSun1+9)=9),SepSun1+9,""))</f>
        <v>45544</v>
      </c>
      <c r="D25" s="102">
        <f>IF(DAY(SepSun1)=1,IF(AND(YEAR(SepSun1+3)=CalendarYear,MONTH(SepSun1+3)=9),SepSun1+3,""),IF(AND(YEAR(SepSun1+10)=CalendarYear,MONTH(SepSun1+10)=9),SepSun1+10,""))</f>
        <v>45545</v>
      </c>
      <c r="E25" s="108">
        <v>11</v>
      </c>
      <c r="F25" s="103">
        <f>IF(DAY(SepSun1)=1,IF(AND(YEAR(SepSun1+5)=CalendarYear,MONTH(SepSun1+5)=9),SepSun1+5,""),IF(AND(YEAR(SepSun1+12)=CalendarYear,MONTH(SepSun1+12)=9),SepSun1+12,""))</f>
        <v>45547</v>
      </c>
      <c r="G25" s="42">
        <v>13</v>
      </c>
      <c r="H25" s="14">
        <f>IF(DAY(SepSun1)=1,IF(AND(YEAR(SepSun1+7)=CalendarYear,MONTH(SepSun1+7)=9),SepSun1+7,""),IF(AND(YEAR(SepSun1+14)=CalendarYear,MONTH(SepSun1+14)=9),SepSun1+14,""))</f>
        <v>45549</v>
      </c>
      <c r="J25" s="12">
        <f>IF(DAY(OctSun1)=1,IF(AND(YEAR(OctSun1+1)=CalendarYear,MONTH(OctSun1+1)=10),OctSun1+1,""),IF(AND(YEAR(OctSun1+8)=CalendarYear,MONTH(OctSun1+8)=10),OctSun1+8,""))</f>
        <v>45571</v>
      </c>
      <c r="K25" s="114">
        <f>IF(DAY(OctSun1)=1,IF(AND(YEAR(OctSun1+2)=CalendarYear,MONTH(OctSun1+2)=10),OctSun1+2,""),IF(AND(YEAR(OctSun1+9)=CalendarYear,MONTH(OctSun1+9)=10),OctSun1+9,""))</f>
        <v>45572</v>
      </c>
      <c r="L25" s="44">
        <f>IF(DAY(OctSun1)=1,IF(AND(YEAR(OctSun1+3)=CalendarYear,MONTH(OctSun1+3)=10),OctSun1+3,""),IF(AND(YEAR(OctSun1+10)=CalendarYear,MONTH(OctSun1+10)=10),OctSun1+10,""))</f>
        <v>45573</v>
      </c>
      <c r="M25" s="42">
        <f>IF(DAY(OctSun1)=1,IF(AND(YEAR(OctSun1+4)=CalendarYear,MONTH(OctSun1+4)=10),OctSun1+4,""),IF(AND(YEAR(OctSun1+11)=CalendarYear,MONTH(OctSun1+11)=10),OctSun1+11,""))</f>
        <v>45574</v>
      </c>
      <c r="N25" s="42">
        <f>IF(DAY(OctSun1)=1,IF(AND(YEAR(OctSun1+5)=CalendarYear,MONTH(OctSun1+5)=10),OctSun1+5,""),IF(AND(YEAR(OctSun1+12)=CalendarYear,MONTH(OctSun1+12)=10),OctSun1+12,""))</f>
        <v>45575</v>
      </c>
      <c r="O25" s="41">
        <f>IF(DAY(OctSun1)=1,IF(AND(YEAR(OctSun1+6)=CalendarYear,MONTH(OctSun1+6)=10),OctSun1+6,""),IF(AND(YEAR(OctSun1+13)=CalendarYear,MONTH(OctSun1+13)=10),OctSun1+13,""))</f>
        <v>45576</v>
      </c>
      <c r="P25" s="14">
        <f>IF(DAY(OctSun1)=1,IF(AND(YEAR(OctSun1+7)=CalendarYear,MONTH(OctSun1+7)=10),OctSun1+7,""),IF(AND(YEAR(OctSun1+14)=CalendarYear,MONTH(OctSun1+14)=10),OctSun1+14,""))</f>
        <v>45577</v>
      </c>
      <c r="R25" s="12">
        <f>IF(DAY(NovSun1)=1,IF(AND(YEAR(NovSun1+1)=CalendarYear,MONTH(NovSun1+1)=11),NovSun1+1,""),IF(AND(YEAR(NovSun1+8)=CalendarYear,MONTH(NovSun1+8)=11),NovSun1+8,""))</f>
        <v>45599</v>
      </c>
      <c r="S25" s="116">
        <f>IF(DAY(NovSun1)=1,IF(AND(YEAR(NovSun1+2)=CalendarYear,MONTH(NovSun1+2)=11),NovSun1+2,""),IF(AND(YEAR(NovSun1+9)=CalendarYear,MONTH(NovSun1+9)=11),NovSun1+9,""))</f>
        <v>45600</v>
      </c>
      <c r="T25" s="44">
        <f>IF(DAY(NovSun1)=1,IF(AND(YEAR(NovSun1+3)=CalendarYear,MONTH(NovSun1+3)=11),NovSun1+3,""),IF(AND(YEAR(NovSun1+10)=CalendarYear,MONTH(NovSun1+10)=11),NovSun1+10,""))</f>
        <v>45601</v>
      </c>
      <c r="U25" s="42">
        <f>IF(DAY(NovSun1)=1,IF(AND(YEAR(NovSun1+4)=CalendarYear,MONTH(NovSun1+4)=11),NovSun1+4,""),IF(AND(YEAR(NovSun1+11)=CalendarYear,MONTH(NovSun1+11)=11),NovSun1+11,""))</f>
        <v>45602</v>
      </c>
      <c r="V25" s="42">
        <f>IF(DAY(NovSun1)=1,IF(AND(YEAR(NovSun1+5)=CalendarYear,MONTH(NovSun1+5)=11),NovSun1+5,""),IF(AND(YEAR(NovSun1+12)=CalendarYear,MONTH(NovSun1+12)=11),NovSun1+12,""))</f>
        <v>45603</v>
      </c>
      <c r="W25" s="41">
        <f>IF(DAY(NovSun1)=1,IF(AND(YEAR(NovSun1+6)=CalendarYear,MONTH(NovSun1+6)=11),NovSun1+6,""),IF(AND(YEAR(NovSun1+13)=CalendarYear,MONTH(NovSun1+13)=11),NovSun1+13,""))</f>
        <v>45604</v>
      </c>
      <c r="X25" s="14">
        <f>IF(DAY(NovSun1)=1,IF(AND(YEAR(NovSun1+7)=CalendarYear,MONTH(NovSun1+7)=11),NovSun1+7,""),IF(AND(YEAR(NovSun1+14)=CalendarYear,MONTH(NovSun1+14)=11),NovSun1+14,""))</f>
        <v>45605</v>
      </c>
      <c r="Z25" s="12">
        <f>IF(DAY(DecSun1)=1,IF(AND(YEAR(DecSun1+1)=CalendarYear,MONTH(DecSun1+1)=12),DecSun1+1,""),IF(AND(YEAR(DecSun1+8)=CalendarYear,MONTH(DecSun1+8)=12),DecSun1+8,""))</f>
        <v>45634</v>
      </c>
      <c r="AA25" s="44">
        <f>IF(DAY(DecSun1)=1,IF(AND(YEAR(DecSun1+2)=CalendarYear,MONTH(DecSun1+2)=12),DecSun1+2,""),IF(AND(YEAR(DecSun1+9)=CalendarYear,MONTH(DecSun1+9)=12),DecSun1+9,""))</f>
        <v>45635</v>
      </c>
      <c r="AB25" s="44">
        <f>IF(DAY(DecSun1)=1,IF(AND(YEAR(DecSun1+3)=CalendarYear,MONTH(DecSun1+3)=12),DecSun1+3,""),IF(AND(YEAR(DecSun1+10)=CalendarYear,MONTH(DecSun1+10)=12),DecSun1+10,""))</f>
        <v>45636</v>
      </c>
      <c r="AC25" s="127">
        <f>IF(DAY(DecSun1)=1,IF(AND(YEAR(DecSun1+4)=CalendarYear,MONTH(DecSun1+4)=12),DecSun1+4,""),IF(AND(YEAR(DecSun1+11)=CalendarYear,MONTH(DecSun1+11)=12),DecSun1+11,""))</f>
        <v>45637</v>
      </c>
      <c r="AD25" s="132">
        <f>IF(DAY(DecSun1)=1,IF(AND(YEAR(DecSun1+5)=CalendarYear,MONTH(DecSun1+5)=12),DecSun1+5,""),IF(AND(YEAR(DecSun1+12)=CalendarYear,MONTH(DecSun1+12)=12),DecSun1+12,""))</f>
        <v>45638</v>
      </c>
      <c r="AE25" s="137">
        <f>IF(DAY(DecSun1)=1,IF(AND(YEAR(DecSun1+6)=CalendarYear,MONTH(DecSun1+6)=12),DecSun1+6,""),IF(AND(YEAR(DecSun1+13)=CalendarYear,MONTH(DecSun1+13)=12),DecSun1+13,""))</f>
        <v>45639</v>
      </c>
      <c r="AF25" s="14">
        <f>IF(DAY(DecSun1)=1,IF(AND(YEAR(DecSun1+7)=CalendarYear,MONTH(DecSun1+7)=12),DecSun1+7,""),IF(AND(YEAR(DecSun1+14)=CalendarYear,MONTH(DecSun1+14)=12),DecSun1+14,""))</f>
        <v>45640</v>
      </c>
    </row>
    <row r="26" spans="2:32" s="8" customFormat="1" ht="26.1" customHeight="1" thickBot="1" x14ac:dyDescent="0.4">
      <c r="B26" s="112">
        <f>IF(DAY(SepSun1)=1,IF(AND(YEAR(SepSun1+8)=CalendarYear,MONTH(SepSun1+8)=9),SepSun1+8,""),IF(AND(YEAR(SepSun1+15)=CalendarYear,MONTH(SepSun1+15)=9),SepSun1+15,""))</f>
        <v>45550</v>
      </c>
      <c r="C26" s="142">
        <f>IF(DAY(SepSun1)=1,IF(AND(YEAR(SepSun1+9)=CalendarYear,MONTH(SepSun1+9)=9),SepSun1+9,""),IF(AND(YEAR(SepSun1+16)=CalendarYear,MONTH(SepSun1+16)=9),SepSun1+16,""))</f>
        <v>45551</v>
      </c>
      <c r="D26" s="133">
        <f>IF(DAY(SepSun1)=1,IF(AND(YEAR(SepSun1+10)=CalendarYear,MONTH(SepSun1+10)=9),SepSun1+10,""),IF(AND(YEAR(SepSun1+17)=CalendarYear,MONTH(SepSun1+17)=9),SepSun1+17,""))</f>
        <v>45552</v>
      </c>
      <c r="E26" s="105">
        <f>IF(DAY(SepSun1)=1,IF(AND(YEAR(SepSun1+11)=CalendarYear,MONTH(SepSun1+11)=9),SepSun1+11,""),IF(AND(YEAR(SepSun1+18)=CalendarYear,MONTH(SepSun1+18)=9),SepSun1+18,""))</f>
        <v>45553</v>
      </c>
      <c r="F26" s="39">
        <f>IF(DAY(SepSun1)=1,IF(AND(YEAR(SepSun1+12)=CalendarYear,MONTH(SepSun1+12)=9),SepSun1+12,""),IF(AND(YEAR(SepSun1+19)=CalendarYear,MONTH(SepSun1+19)=9),SepSun1+19,""))</f>
        <v>45554</v>
      </c>
      <c r="G26" s="39">
        <v>20</v>
      </c>
      <c r="H26" s="49">
        <f>IF(DAY(SepSun1)=1,IF(AND(YEAR(SepSun1+14)=CalendarYear,MONTH(SepSun1+14)=9),SepSun1+14,""),IF(AND(YEAR(SepSun1+21)=CalendarYear,MONTH(SepSun1+21)=9),SepSun1+21,""))</f>
        <v>45556</v>
      </c>
      <c r="J26" s="113">
        <f>IF(DAY(OctSun1)=1,IF(AND(YEAR(OctSun1+8)=CalendarYear,MONTH(OctSun1+8)=10),OctSun1+8,""),IF(AND(YEAR(OctSun1+15)=CalendarYear,MONTH(OctSun1+15)=10),OctSun1+15,""))</f>
        <v>45578</v>
      </c>
      <c r="K26" s="115">
        <f>IF(DAY(OctSun1)=1,IF(AND(YEAR(OctSun1+9)=CalendarYear,MONTH(OctSun1+9)=10),OctSun1+9,""),IF(AND(YEAR(OctSun1+16)=CalendarYear,MONTH(OctSun1+16)=10),OctSun1+16,""))</f>
        <v>45579</v>
      </c>
      <c r="L26" s="91">
        <f>IF(DAY(OctSun1)=1,IF(AND(YEAR(OctSun1+10)=CalendarYear,MONTH(OctSun1+10)=10),OctSun1+10,""),IF(AND(YEAR(OctSun1+17)=CalendarYear,MONTH(OctSun1+17)=10),OctSun1+17,""))</f>
        <v>45580</v>
      </c>
      <c r="M26" s="44">
        <f>IF(DAY(OctSun1)=1,IF(AND(YEAR(OctSun1+11)=CalendarYear,MONTH(OctSun1+11)=10),OctSun1+11,""),IF(AND(YEAR(OctSun1+18)=CalendarYear,MONTH(OctSun1+18)=10),OctSun1+18,""))</f>
        <v>45581</v>
      </c>
      <c r="N26" s="48">
        <f>IF(DAY(OctSun1)=1,IF(AND(YEAR(OctSun1+12)=CalendarYear,MONTH(OctSun1+12)=10),OctSun1+12,""),IF(AND(YEAR(OctSun1+19)=CalendarYear,MONTH(OctSun1+19)=10),OctSun1+19,""))</f>
        <v>45582</v>
      </c>
      <c r="O26" s="48">
        <f>IF(DAY(OctSun1)=1,IF(AND(YEAR(OctSun1+13)=CalendarYear,MONTH(OctSun1+13)=10),OctSun1+13,""),IF(AND(YEAR(OctSun1+20)=CalendarYear,MONTH(OctSun1+20)=10),OctSun1+20,""))</f>
        <v>45583</v>
      </c>
      <c r="P26" s="13">
        <f>IF(DAY(OctSun1)=1,IF(AND(YEAR(OctSun1+14)=CalendarYear,MONTH(OctSun1+14)=10),OctSun1+14,""),IF(AND(YEAR(OctSun1+21)=CalendarYear,MONTH(OctSun1+21)=10),OctSun1+21,""))</f>
        <v>45584</v>
      </c>
      <c r="R26" s="113">
        <f>IF(DAY(NovSun1)=1,IF(AND(YEAR(NovSun1+8)=CalendarYear,MONTH(NovSun1+8)=11),NovSun1+8,""),IF(AND(YEAR(NovSun1+15)=CalendarYear,MONTH(NovSun1+15)=11),NovSun1+15,""))</f>
        <v>45606</v>
      </c>
      <c r="S26" s="115">
        <f>IF(DAY(NovSun1)=1,IF(AND(YEAR(NovSun1+9)=CalendarYear,MONTH(NovSun1+9)=11),NovSun1+9,""),IF(AND(YEAR(NovSun1+16)=CalendarYear,MONTH(NovSun1+16)=11),NovSun1+16,""))</f>
        <v>45607</v>
      </c>
      <c r="T26" s="91">
        <f>IF(DAY(NovSun1)=1,IF(AND(YEAR(NovSun1+10)=CalendarYear,MONTH(NovSun1+10)=11),NovSun1+10,""),IF(AND(YEAR(NovSun1+17)=CalendarYear,MONTH(NovSun1+17)=11),NovSun1+17,""))</f>
        <v>45608</v>
      </c>
      <c r="U26" s="44">
        <f>IF(DAY(NovSun1)=1,IF(AND(YEAR(NovSun1+11)=CalendarYear,MONTH(NovSun1+11)=11),NovSun1+11,""),IF(AND(YEAR(NovSun1+18)=CalendarYear,MONTH(NovSun1+18)=11),NovSun1+18,""))</f>
        <v>45609</v>
      </c>
      <c r="V26" s="48">
        <f>IF(DAY(NovSun1)=1,IF(AND(YEAR(NovSun1+12)=CalendarYear,MONTH(NovSun1+12)=11),NovSun1+12,""),IF(AND(YEAR(NovSun1+19)=CalendarYear,MONTH(NovSun1+19)=11),NovSun1+19,""))</f>
        <v>45610</v>
      </c>
      <c r="W26" s="48">
        <f>IF(DAY(NovSun1)=1,IF(AND(YEAR(NovSun1+13)=CalendarYear,MONTH(NovSun1+13)=11),NovSun1+13,""),IF(AND(YEAR(NovSun1+20)=CalendarYear,MONTH(NovSun1+20)=11),NovSun1+20,""))</f>
        <v>45611</v>
      </c>
      <c r="X26" s="13">
        <f>IF(DAY(NovSun1)=1,IF(AND(YEAR(NovSun1+14)=CalendarYear,MONTH(NovSun1+14)=11),NovSun1+14,""),IF(AND(YEAR(NovSun1+21)=CalendarYear,MONTH(NovSun1+21)=11),NovSun1+21,""))</f>
        <v>45612</v>
      </c>
      <c r="Z26" s="49">
        <f>IF(DAY(DecSun1)=1,IF(AND(YEAR(DecSun1+8)=CalendarYear,MONTH(DecSun1+8)=12),DecSun1+8,""),IF(AND(YEAR(DecSun1+15)=CalendarYear,MONTH(DecSun1+15)=12),DecSun1+15,""))</f>
        <v>45641</v>
      </c>
      <c r="AA26" s="33">
        <f>IF(DAY(DecSun1)=1,IF(AND(YEAR(DecSun1+9)=CalendarYear,MONTH(DecSun1+9)=12),DecSun1+9,""),IF(AND(YEAR(DecSun1+16)=CalendarYear,MONTH(DecSun1+16)=12),DecSun1+16,""))</f>
        <v>45642</v>
      </c>
      <c r="AB26" s="32">
        <f>IF(DAY(DecSun1)=1,IF(AND(YEAR(DecSun1+10)=CalendarYear,MONTH(DecSun1+10)=12),DecSun1+10,""),IF(AND(YEAR(DecSun1+17)=CalendarYear,MONTH(DecSun1+17)=12),DecSun1+17,""))</f>
        <v>45643</v>
      </c>
      <c r="AC26" s="32">
        <f>IF(DAY(DecSun1)=1,IF(AND(YEAR(DecSun1+11)=CalendarYear,MONTH(DecSun1+11)=12),DecSun1+11,""),IF(AND(YEAR(DecSun1+18)=CalendarYear,MONTH(DecSun1+18)=12),DecSun1+18,""))</f>
        <v>45644</v>
      </c>
      <c r="AD26" s="129">
        <f>IF(DAY(DecSun1)=1,IF(AND(YEAR(DecSun1+12)=CalendarYear,MONTH(DecSun1+12)=12),DecSun1+12,""),IF(AND(YEAR(DecSun1+19)=CalendarYear,MONTH(DecSun1+19)=12),DecSun1+19,""))</f>
        <v>45645</v>
      </c>
      <c r="AE26" s="39">
        <f>IF(DAY(DecSun1)=1,IF(AND(YEAR(DecSun1+13)=CalendarYear,MONTH(DecSun1+13)=12),DecSun1+13,""),IF(AND(YEAR(DecSun1+20)=CalendarYear,MONTH(DecSun1+20)=12),DecSun1+20,""))</f>
        <v>45646</v>
      </c>
      <c r="AF26" s="49">
        <f>IF(DAY(DecSun1)=1,IF(AND(YEAR(DecSun1+14)=CalendarYear,MONTH(DecSun1+14)=12),DecSun1+14,""),IF(AND(YEAR(DecSun1+21)=CalendarYear,MONTH(DecSun1+21)=12),DecSun1+21,""))</f>
        <v>45647</v>
      </c>
    </row>
    <row r="27" spans="2:32" s="8" customFormat="1" ht="26.1" customHeight="1" thickBot="1" x14ac:dyDescent="0.4">
      <c r="B27" s="14">
        <f>IF(DAY(SepSun1)=1,IF(AND(YEAR(SepSun1+15)=CalendarYear,MONTH(SepSun1+15)=9),SepSun1+15,""),IF(AND(YEAR(SepSun1+22)=CalendarYear,MONTH(SepSun1+22)=9),SepSun1+22,""))</f>
        <v>45557</v>
      </c>
      <c r="C27" s="144">
        <f>IF(DAY(SepSun1)=1,IF(AND(YEAR(SepSun1+16)=CalendarYear,MONTH(SepSun1+16)=9),SepSun1+16,""),IF(AND(YEAR(SepSun1+23)=CalendarYear,MONTH(SepSun1+23)=9),SepSun1+23,""))</f>
        <v>45558</v>
      </c>
      <c r="D27" s="34">
        <f>IF(DAY(SepSun1)=1,IF(AND(YEAR(SepSun1+17)=CalendarYear,MONTH(SepSun1+17)=9),SepSun1+17,""),IF(AND(YEAR(SepSun1+24)=CalendarYear,MONTH(SepSun1+24)=9),SepSun1+24,""))</f>
        <v>45559</v>
      </c>
      <c r="E27" s="33">
        <f>IF(DAY(SepSun1)=1,IF(AND(YEAR(SepSun1+18)=CalendarYear,MONTH(SepSun1+18)=9),SepSun1+18,""),IF(AND(YEAR(SepSun1+25)=CalendarYear,MONTH(SepSun1+25)=9),SepSun1+25,""))</f>
        <v>45560</v>
      </c>
      <c r="F27" s="38">
        <f>IF(DAY(SepSun1)=1,IF(AND(YEAR(SepSun1+19)=CalendarYear,MONTH(SepSun1+19)=9),SepSun1+19,""),IF(AND(YEAR(SepSun1+26)=CalendarYear,MONTH(SepSun1+26)=9),SepSun1+26,""))</f>
        <v>45561</v>
      </c>
      <c r="G27" s="38">
        <v>27</v>
      </c>
      <c r="H27" s="49">
        <f>IF(DAY(SepSun1)=1,IF(AND(YEAR(SepSun1+21)=CalendarYear,MONTH(SepSun1+21)=9),SepSun1+21,""),IF(AND(YEAR(SepSun1+28)=CalendarYear,MONTH(SepSun1+28)=9),SepSun1+28,""))</f>
        <v>45563</v>
      </c>
      <c r="J27" s="14">
        <f>IF(DAY(OctSun1)=1,IF(AND(YEAR(OctSun1+15)=CalendarYear,MONTH(OctSun1+15)=10),OctSun1+15,""),IF(AND(YEAR(OctSun1+22)=CalendarYear,MONTH(OctSun1+22)=10),OctSun1+22,""))</f>
        <v>45585</v>
      </c>
      <c r="K27" s="104">
        <f>IF(DAY(OctSun1)=1,IF(AND(YEAR(OctSun1+16)=CalendarYear,MONTH(OctSun1+16)=10),OctSun1+16,""),IF(AND(YEAR(OctSun1+23)=CalendarYear,MONTH(OctSun1+23)=10),OctSun1+23,""))</f>
        <v>45586</v>
      </c>
      <c r="L27" s="41">
        <f>IF(DAY(OctSun1)=1,IF(AND(YEAR(OctSun1+17)=CalendarYear,MONTH(OctSun1+17)=10),OctSun1+17,""),IF(AND(YEAR(OctSun1+24)=CalendarYear,MONTH(OctSun1+24)=10),OctSun1+24,""))</f>
        <v>45587</v>
      </c>
      <c r="M27" s="42">
        <f>IF(DAY(OctSun1)=1,IF(AND(YEAR(OctSun1+18)=CalendarYear,MONTH(OctSun1+18)=10),OctSun1+18,""),IF(AND(YEAR(OctSun1+25)=CalendarYear,MONTH(OctSun1+25)=10),OctSun1+25,""))</f>
        <v>45588</v>
      </c>
      <c r="N27" s="43">
        <f>IF(DAY(OctSun1)=1,IF(AND(YEAR(OctSun1+19)=CalendarYear,MONTH(OctSun1+19)=10),OctSun1+19,""),IF(AND(YEAR(OctSun1+26)=CalendarYear,MONTH(OctSun1+26)=10),OctSun1+26,""))</f>
        <v>45589</v>
      </c>
      <c r="O27" s="42">
        <f>IF(DAY(OctSun1)=1,IF(AND(YEAR(OctSun1+20)=CalendarYear,MONTH(OctSun1+20)=10),OctSun1+20,""),IF(AND(YEAR(OctSun1+27)=CalendarYear,MONTH(OctSun1+27)=10),OctSun1+27,""))</f>
        <v>45590</v>
      </c>
      <c r="P27" s="13">
        <f>IF(DAY(OctSun1)=1,IF(AND(YEAR(OctSun1+21)=CalendarYear,MONTH(OctSun1+21)=10),OctSun1+21,""),IF(AND(YEAR(OctSun1+28)=CalendarYear,MONTH(OctSun1+28)=10),OctSun1+28,""))</f>
        <v>45591</v>
      </c>
      <c r="R27" s="14">
        <f>IF(DAY(NovSun1)=1,IF(AND(YEAR(NovSun1+15)=CalendarYear,MONTH(NovSun1+15)=11),NovSun1+15,""),IF(AND(YEAR(NovSun1+22)=CalendarYear,MONTH(NovSun1+22)=11),NovSun1+22,""))</f>
        <v>45613</v>
      </c>
      <c r="S27" s="104">
        <f>IF(DAY(NovSun1)=1,IF(AND(YEAR(NovSun1+16)=CalendarYear,MONTH(NovSun1+16)=11),NovSun1+16,""),IF(AND(YEAR(NovSun1+23)=CalendarYear,MONTH(NovSun1+23)=11),NovSun1+23,""))</f>
        <v>45614</v>
      </c>
      <c r="T27" s="41">
        <f>IF(DAY(NovSun1)=1,IF(AND(YEAR(NovSun1+17)=CalendarYear,MONTH(NovSun1+17)=11),NovSun1+17,""),IF(AND(YEAR(NovSun1+24)=CalendarYear,MONTH(NovSun1+24)=11),NovSun1+24,""))</f>
        <v>45615</v>
      </c>
      <c r="U27" s="42">
        <f>IF(DAY(NovSun1)=1,IF(AND(YEAR(NovSun1+18)=CalendarYear,MONTH(NovSun1+18)=11),NovSun1+18,""),IF(AND(YEAR(NovSun1+25)=CalendarYear,MONTH(NovSun1+25)=11),NovSun1+25,""))</f>
        <v>45616</v>
      </c>
      <c r="V27" s="43">
        <f>IF(DAY(NovSun1)=1,IF(AND(YEAR(NovSun1+19)=CalendarYear,MONTH(NovSun1+19)=11),NovSun1+19,""),IF(AND(YEAR(NovSun1+26)=CalendarYear,MONTH(NovSun1+26)=11),NovSun1+26,""))</f>
        <v>45617</v>
      </c>
      <c r="W27" s="42">
        <f>IF(DAY(NovSun1)=1,IF(AND(YEAR(NovSun1+20)=CalendarYear,MONTH(NovSun1+20)=11),NovSun1+20,""),IF(AND(YEAR(NovSun1+27)=CalendarYear,MONTH(NovSun1+27)=11),NovSun1+27,""))</f>
        <v>45618</v>
      </c>
      <c r="X27" s="13">
        <f>IF(DAY(NovSun1)=1,IF(AND(YEAR(NovSun1+21)=CalendarYear,MONTH(NovSun1+21)=11),NovSun1+21,""),IF(AND(YEAR(NovSun1+28)=CalendarYear,MONTH(NovSun1+28)=11),NovSun1+28,""))</f>
        <v>45619</v>
      </c>
      <c r="Z27" s="14">
        <f>IF(DAY(DecSun1)=1,IF(AND(YEAR(DecSun1+15)=CalendarYear,MONTH(DecSun1+15)=12),DecSun1+15,""),IF(AND(YEAR(DecSun1+22)=CalendarYear,MONTH(DecSun1+22)=12),DecSun1+22,""))</f>
        <v>45648</v>
      </c>
      <c r="AA27" s="34">
        <f>IF(DAY(DecSun1)=1,IF(AND(YEAR(DecSun1+16)=CalendarYear,MONTH(DecSun1+16)=12),DecSun1+16,""),IF(AND(YEAR(DecSun1+23)=CalendarYear,MONTH(DecSun1+23)=12),DecSun1+23,""))</f>
        <v>45649</v>
      </c>
      <c r="AB27" s="76">
        <f>IF(DAY(DecSun1)=1,IF(AND(YEAR(DecSun1+17)=CalendarYear,MONTH(DecSun1+17)=12),DecSun1+17,""),IF(AND(YEAR(DecSun1+24)=CalendarYear,MONTH(DecSun1+24)=12),DecSun1+24,""))</f>
        <v>45650</v>
      </c>
      <c r="AC27" s="72">
        <f>IF(DAY(DecSun1)=1,IF(AND(YEAR(DecSun1+18)=CalendarYear,MONTH(DecSun1+18)=12),DecSun1+18,""),IF(AND(YEAR(DecSun1+25)=CalendarYear,MONTH(DecSun1+25)=12),DecSun1+25,""))</f>
        <v>45651</v>
      </c>
      <c r="AD27" s="29">
        <f>IF(DAY(DecSun1)=1,IF(AND(YEAR(DecSun1+19)=CalendarYear,MONTH(DecSun1+19)=12),DecSun1+19,""),IF(AND(YEAR(DecSun1+26)=CalendarYear,MONTH(DecSun1+26)=12),DecSun1+26,""))</f>
        <v>45652</v>
      </c>
      <c r="AE27" s="33">
        <f>IF(DAY(DecSun1)=1,IF(AND(YEAR(DecSun1+20)=CalendarYear,MONTH(DecSun1+20)=12),DecSun1+20,""),IF(AND(YEAR(DecSun1+27)=CalendarYear,MONTH(DecSun1+27)=12),DecSun1+27,""))</f>
        <v>45653</v>
      </c>
      <c r="AF27" s="49">
        <f>IF(DAY(DecSun1)=1,IF(AND(YEAR(DecSun1+21)=CalendarYear,MONTH(DecSun1+21)=12),DecSun1+21,""),IF(AND(YEAR(DecSun1+28)=CalendarYear,MONTH(DecSun1+28)=12),DecSun1+28,""))</f>
        <v>45654</v>
      </c>
    </row>
    <row r="28" spans="2:32" s="8" customFormat="1" ht="26.1" customHeight="1" thickBot="1" x14ac:dyDescent="0.4">
      <c r="B28" s="90">
        <f>IF(DAY(SepSun1)=1,IF(AND(YEAR(SepSun1+22)=CalendarYear,MONTH(SepSun1+22)=9),SepSun1+22,""),IF(AND(YEAR(SepSun1+29)=CalendarYear,MONTH(SepSun1+29)=9),SepSun1+29,""))</f>
        <v>45564</v>
      </c>
      <c r="C28" s="93">
        <f>IF(DAY(SepSun1)=1,IF(AND(YEAR(SepSun1+23)=CalendarYear,MONTH(SepSun1+23)=9),SepSun1+23,""),IF(AND(YEAR(SepSun1+30)=CalendarYear,MONTH(SepSun1+30)=9),SepSun1+30,""))</f>
        <v>45565</v>
      </c>
      <c r="D28" s="143" t="str">
        <f>IF(DAY(SepSun1)=1,IF(AND(YEAR(SepSun1+24)=CalendarYear,MONTH(SepSun1+24)=9),SepSun1+24,""),IF(AND(YEAR(SepSun1+31)=CalendarYear,MONTH(SepSun1+31)=9),SepSun1+31,""))</f>
        <v/>
      </c>
      <c r="E28" s="15" t="str">
        <f>IF(DAY(SepSun1)=1,IF(AND(YEAR(SepSun1+25)=CalendarYear,MONTH(SepSun1+25)=9),SepSun1+25,""),IF(AND(YEAR(SepSun1+32)=CalendarYear,MONTH(SepSun1+32)=9),SepSun1+32,""))</f>
        <v/>
      </c>
      <c r="F28" s="15" t="str">
        <f>IF(DAY(SepSun1)=1,IF(AND(YEAR(SepSun1+26)=CalendarYear,MONTH(SepSun1+26)=9),SepSun1+26,""),IF(AND(YEAR(SepSun1+33)=CalendarYear,MONTH(SepSun1+33)=9),SepSun1+33,""))</f>
        <v/>
      </c>
      <c r="G28" s="15"/>
      <c r="H28" s="16" t="str">
        <f>IF(DAY(SepSun1)=1,IF(AND(YEAR(SepSun1+28)=CalendarYear,MONTH(SepSun1+28)=9),SepSun1+28,""),IF(AND(YEAR(SepSun1+35)=CalendarYear,MONTH(SepSun1+35)=9),SepSun1+35,""))</f>
        <v/>
      </c>
      <c r="J28" s="90">
        <f>IF(DAY(OctSun1)=1,IF(AND(YEAR(OctSun1+22)=CalendarYear,MONTH(OctSun1+22)=10),OctSun1+22,""),IF(AND(YEAR(OctSun1+29)=CalendarYear,MONTH(OctSun1+29)=10),OctSun1+29,""))</f>
        <v>45592</v>
      </c>
      <c r="K28" s="93">
        <f>IF(DAY(OctSun1)=1,IF(AND(YEAR(OctSun1+23)=CalendarYear,MONTH(OctSun1+23)=10),OctSun1+23,""),IF(AND(YEAR(OctSun1+30)=CalendarYear,MONTH(OctSun1+30)=10),OctSun1+30,""))</f>
        <v>45593</v>
      </c>
      <c r="L28" s="139">
        <f>IF(DAY(OctSun1)=1,IF(AND(YEAR(OctSun1+24)=CalendarYear,MONTH(OctSun1+24)=10),OctSun1+24,""),IF(AND(YEAR(OctSun1+31)=CalendarYear,MONTH(OctSun1+31)=10),OctSun1+31,""))</f>
        <v>45594</v>
      </c>
      <c r="M28" s="45">
        <f>IF(DAY(OctSun1)=1,IF(AND(YEAR(OctSun1+25)=CalendarYear,MONTH(OctSun1+25)=10),OctSun1+25,""),IF(AND(YEAR(OctSun1+32)=CalendarYear,MONTH(OctSun1+32)=10),OctSun1+32,""))</f>
        <v>45595</v>
      </c>
      <c r="N28" s="45">
        <f>IF(DAY(OctSun1)=1,IF(AND(YEAR(OctSun1+26)=CalendarYear,MONTH(OctSun1+26)=10),OctSun1+26,""),IF(AND(YEAR(OctSun1+33)=CalendarYear,MONTH(OctSun1+33)=10),OctSun1+33,""))</f>
        <v>45596</v>
      </c>
      <c r="O28" s="16" t="str">
        <f>IF(DAY(OctSun1)=1,IF(AND(YEAR(OctSun1+27)=CalendarYear,MONTH(OctSun1+27)=10),OctSun1+27,""),IF(AND(YEAR(OctSun1+34)=CalendarYear,MONTH(OctSun1+34)=10),OctSun1+34,""))</f>
        <v/>
      </c>
      <c r="P28" s="16" t="str">
        <f>IF(DAY(OctSun1)=1,IF(AND(YEAR(OctSun1+28)=CalendarYear,MONTH(OctSun1+28)=10),OctSun1+28,""),IF(AND(YEAR(OctSun1+35)=CalendarYear,MONTH(OctSun1+35)=10),OctSun1+35,""))</f>
        <v/>
      </c>
      <c r="R28" s="90">
        <f>IF(DAY(NovSun1)=1,IF(AND(YEAR(NovSun1+22)=CalendarYear,MONTH(NovSun1+22)=11),NovSun1+22,""),IF(AND(YEAR(NovSun1+29)=CalendarYear,MONTH(NovSun1+29)=11),NovSun1+29,""))</f>
        <v>45620</v>
      </c>
      <c r="S28" s="93">
        <f>IF(DAY(NovSun1)=1,IF(AND(YEAR(NovSun1+23)=CalendarYear,MONTH(NovSun1+23)=11),NovSun1+23,""),IF(AND(YEAR(NovSun1+30)=CalendarYear,MONTH(NovSun1+30)=11),NovSun1+30,""))</f>
        <v>45621</v>
      </c>
      <c r="T28" s="139">
        <f>IF(DAY(NovSun1)=1,IF(AND(YEAR(NovSun1+24)=CalendarYear,MONTH(NovSun1+24)=11),NovSun1+24,""),IF(AND(YEAR(NovSun1+31)=CalendarYear,MONTH(NovSun1+31)=11),NovSun1+31,""))</f>
        <v>45622</v>
      </c>
      <c r="U28" s="45">
        <f>IF(DAY(NovSun1)=1,IF(AND(YEAR(NovSun1+25)=CalendarYear,MONTH(NovSun1+25)=11),NovSun1+25,""),IF(AND(YEAR(NovSun1+32)=CalendarYear,MONTH(NovSun1+32)=11),NovSun1+32,""))</f>
        <v>45623</v>
      </c>
      <c r="V28" s="45">
        <f>IF(DAY(NovSun1)=1,IF(AND(YEAR(NovSun1+26)=CalendarYear,MONTH(NovSun1+26)=11),NovSun1+26,""),IF(AND(YEAR(NovSun1+33)=CalendarYear,MONTH(NovSun1+33)=11),NovSun1+33,""))</f>
        <v>45624</v>
      </c>
      <c r="W28" s="50">
        <f>IF(DAY(NovSun1)=1,IF(AND(YEAR(NovSun1+27)=CalendarYear,MONTH(NovSun1+27)=11),NovSun1+27,""),IF(AND(YEAR(NovSun1+34)=CalendarYear,MONTH(NovSun1+34)=11),NovSun1+34,""))</f>
        <v>45625</v>
      </c>
      <c r="X28" s="110">
        <v>30</v>
      </c>
      <c r="Z28" s="12">
        <f>IF(DAY(DecSun1)=1,IF(AND(YEAR(DecSun1+22)=CalendarYear,MONTH(DecSun1+22)=12),DecSun1+22,""),IF(AND(YEAR(DecSun1+29)=CalendarYear,MONTH(DecSun1+29)=12),DecSun1+29,""))</f>
        <v>45655</v>
      </c>
      <c r="AA28" s="32">
        <f>IF(DAY(DecSun1)=1,IF(AND(YEAR(DecSun1+23)=CalendarYear,MONTH(DecSun1+23)=12),DecSun1+23,""),IF(AND(YEAR(DecSun1+30)=CalendarYear,MONTH(DecSun1+30)=12),DecSun1+30,""))</f>
        <v>45656</v>
      </c>
      <c r="AB28" s="37">
        <f>IF(DAY(DecSun1)=1,IF(AND(YEAR(DecSun1+24)=CalendarYear,MONTH(DecSun1+24)=12),DecSun1+24,""),IF(AND(YEAR(DecSun1+31)=CalendarYear,MONTH(DecSun1+31)=12),DecSun1+31,""))</f>
        <v>45657</v>
      </c>
      <c r="AC28" s="15" t="str">
        <f>IF(DAY(DecSun1)=1,IF(AND(YEAR(DecSun1+25)=CalendarYear,MONTH(DecSun1+25)=12),DecSun1+25,""),IF(AND(YEAR(DecSun1+32)=CalendarYear,MONTH(DecSun1+32)=12),DecSun1+32,""))</f>
        <v/>
      </c>
      <c r="AD28" s="15" t="str">
        <f>IF(DAY(DecSun1)=1,IF(AND(YEAR(DecSun1+26)=CalendarYear,MONTH(DecSun1+26)=12),DecSun1+26,""),IF(AND(YEAR(DecSun1+33)=CalendarYear,MONTH(DecSun1+33)=12),DecSun1+33,""))</f>
        <v/>
      </c>
      <c r="AE28" s="16" t="str">
        <f>IF(DAY(DecSun1)=1,IF(AND(YEAR(DecSun1+27)=CalendarYear,MONTH(DecSun1+27)=12),DecSun1+27,""),IF(AND(YEAR(DecSun1+34)=CalendarYear,MONTH(DecSun1+34)=12),DecSun1+34,""))</f>
        <v/>
      </c>
      <c r="AF28" s="16" t="str">
        <f>IF(DAY(DecSun1)=1,IF(AND(YEAR(DecSun1+28)=CalendarYear,MONTH(DecSun1+28)=12),DecSun1+28,""),IF(AND(YEAR(DecSun1+35)=CalendarYear,MONTH(DecSun1+35)=12),DecSun1+35,""))</f>
        <v/>
      </c>
    </row>
    <row r="29" spans="2:32" s="146" customFormat="1" ht="29.4" customHeight="1" x14ac:dyDescent="0.3">
      <c r="R29" s="149" t="s">
        <v>44</v>
      </c>
      <c r="S29" s="149"/>
      <c r="T29" s="149"/>
      <c r="U29" s="149"/>
      <c r="V29" s="149"/>
      <c r="W29" s="149"/>
      <c r="X29" s="149"/>
      <c r="Z29" s="147" t="s">
        <v>46</v>
      </c>
      <c r="AA29" s="148"/>
      <c r="AB29" s="148"/>
      <c r="AC29" s="148"/>
      <c r="AD29" s="148"/>
      <c r="AE29" s="148"/>
    </row>
    <row r="30" spans="2:32" s="7" customFormat="1" ht="10.199999999999999" customHeight="1" x14ac:dyDescent="0.35">
      <c r="R30" s="145"/>
      <c r="S30" s="145"/>
      <c r="T30" s="145"/>
      <c r="U30" s="145"/>
      <c r="V30" s="145"/>
      <c r="W30" s="145"/>
      <c r="X30" s="145"/>
      <c r="Z30" s="125"/>
      <c r="AA30" s="125"/>
      <c r="AB30" s="125"/>
      <c r="AC30" s="125"/>
      <c r="AD30" s="125"/>
      <c r="AE30" s="125"/>
    </row>
    <row r="31" spans="2:32" ht="26.1" customHeight="1" thickBot="1" x14ac:dyDescent="0.4">
      <c r="B31" s="22"/>
      <c r="L31" s="109" t="s">
        <v>24</v>
      </c>
      <c r="M31" s="109"/>
      <c r="N31" s="109"/>
      <c r="O31" s="109"/>
      <c r="P31" s="109"/>
      <c r="R31" s="77" t="s">
        <v>25</v>
      </c>
      <c r="S31" s="77"/>
      <c r="T31" s="77"/>
      <c r="U31" s="77"/>
      <c r="V31" s="77"/>
      <c r="W31" s="77"/>
      <c r="X31" s="77"/>
      <c r="Y31" s="21"/>
      <c r="Z31" s="77" t="s">
        <v>26</v>
      </c>
      <c r="AA31" s="77"/>
      <c r="AB31" s="77"/>
      <c r="AC31" s="77"/>
      <c r="AD31" s="77"/>
      <c r="AE31" s="77"/>
      <c r="AF31" s="77"/>
    </row>
    <row r="32" spans="2:32" ht="24.6" customHeight="1" thickBot="1" x14ac:dyDescent="0.4">
      <c r="B32" s="53" t="s">
        <v>23</v>
      </c>
      <c r="C32" s="54"/>
      <c r="D32" s="54"/>
      <c r="E32" s="54"/>
      <c r="F32" s="54"/>
      <c r="G32" s="54"/>
      <c r="H32" s="54"/>
      <c r="I32" s="54"/>
      <c r="J32" s="55"/>
      <c r="K32" s="52"/>
      <c r="L32" s="100"/>
      <c r="M32" s="165" t="s">
        <v>40</v>
      </c>
      <c r="N32" s="166"/>
      <c r="O32" s="166"/>
      <c r="P32" s="167"/>
      <c r="Q32" s="52"/>
      <c r="R32" s="17" t="s">
        <v>0</v>
      </c>
      <c r="S32" s="18" t="s">
        <v>3</v>
      </c>
      <c r="T32" s="18" t="s">
        <v>4</v>
      </c>
      <c r="U32" s="18" t="s">
        <v>5</v>
      </c>
      <c r="V32" s="18" t="s">
        <v>6</v>
      </c>
      <c r="W32" s="18" t="s">
        <v>7</v>
      </c>
      <c r="X32" s="19" t="s">
        <v>1</v>
      </c>
      <c r="Y32" s="21"/>
      <c r="Z32" s="17" t="s">
        <v>0</v>
      </c>
      <c r="AA32" s="18" t="s">
        <v>3</v>
      </c>
      <c r="AB32" s="18" t="s">
        <v>4</v>
      </c>
      <c r="AC32" s="18" t="s">
        <v>5</v>
      </c>
      <c r="AD32" s="18" t="s">
        <v>6</v>
      </c>
      <c r="AE32" s="18" t="s">
        <v>7</v>
      </c>
      <c r="AF32" s="19" t="s">
        <v>1</v>
      </c>
    </row>
    <row r="33" spans="2:32" ht="25.2" customHeight="1" thickBot="1" x14ac:dyDescent="0.4">
      <c r="B33" s="151" t="s">
        <v>31</v>
      </c>
      <c r="C33" s="152"/>
      <c r="D33" s="152"/>
      <c r="E33" s="152" t="s">
        <v>34</v>
      </c>
      <c r="F33" s="152"/>
      <c r="G33" s="152"/>
      <c r="H33" s="152" t="s">
        <v>35</v>
      </c>
      <c r="I33" s="152"/>
      <c r="J33" s="153"/>
      <c r="K33" s="82"/>
      <c r="L33" s="56"/>
      <c r="M33" s="168" t="s">
        <v>41</v>
      </c>
      <c r="N33" s="169"/>
      <c r="O33" s="169"/>
      <c r="P33" s="170"/>
      <c r="R33" s="9" t="str">
        <f>IF(DAY(JanSun1)=1,"",IF(AND(YEAR(JanSun1+1)=CalendarYear,MONTH(JanSun1+1)=1),JanSun1+1,""))</f>
        <v/>
      </c>
      <c r="S33" s="92"/>
      <c r="T33" s="10"/>
      <c r="U33" s="78">
        <v>1</v>
      </c>
      <c r="V33" s="30">
        <v>2</v>
      </c>
      <c r="W33" s="31">
        <v>3</v>
      </c>
      <c r="X33" s="11">
        <v>4</v>
      </c>
      <c r="Y33" s="6"/>
      <c r="Z33" s="9" t="str">
        <f>IF(DAY(FebSun1)=1,"",IF(AND(YEAR(FebSun1+1)=CalendarYear,MONTH(FebSun1+1)=2),FebSun1+1,""))</f>
        <v/>
      </c>
      <c r="AA33" s="9" t="str">
        <f>IF(DAY(FebSun1)=1,"",IF(AND(YEAR(FebSun1+2)=CalendarYear,MONTH(FebSun1+2)=2),FebSun1+2,""))</f>
        <v/>
      </c>
      <c r="AB33" s="10" t="str">
        <f>IF(DAY(FebSun1)=1,"",IF(AND(YEAR(FebSun1+3)=CalendarYear,MONTH(FebSun1+3)=2),FebSun1+3,""))</f>
        <v/>
      </c>
      <c r="AC33" s="10" t="str">
        <f>IF(DAY(FebSun1)=1,"",IF(AND(YEAR(FebSun1+4)=CalendarYear,MONTH(FebSun1+4)=2),FebSun1+4,""))</f>
        <v/>
      </c>
      <c r="AD33" s="10"/>
      <c r="AE33" s="11"/>
      <c r="AF33" s="11">
        <v>1</v>
      </c>
    </row>
    <row r="34" spans="2:32" ht="26.4" customHeight="1" thickBot="1" x14ac:dyDescent="0.4">
      <c r="B34" s="154" t="s">
        <v>30</v>
      </c>
      <c r="C34" s="155"/>
      <c r="D34" s="155"/>
      <c r="E34" s="155" t="s">
        <v>48</v>
      </c>
      <c r="F34" s="155"/>
      <c r="G34" s="155"/>
      <c r="H34" s="155" t="s">
        <v>37</v>
      </c>
      <c r="I34" s="155"/>
      <c r="J34" s="156"/>
      <c r="K34" s="82"/>
      <c r="L34" s="107"/>
      <c r="M34" s="171" t="s">
        <v>42</v>
      </c>
      <c r="N34" s="172"/>
      <c r="O34" s="172"/>
      <c r="P34" s="173"/>
      <c r="R34" s="90">
        <v>5</v>
      </c>
      <c r="S34" s="135">
        <v>6</v>
      </c>
      <c r="T34" s="133">
        <v>7</v>
      </c>
      <c r="U34" s="33">
        <v>8</v>
      </c>
      <c r="V34" s="33">
        <v>9</v>
      </c>
      <c r="W34" s="34">
        <v>10</v>
      </c>
      <c r="X34" s="14">
        <v>11</v>
      </c>
      <c r="Y34" s="8"/>
      <c r="Z34" s="12">
        <v>2</v>
      </c>
      <c r="AA34" s="44">
        <v>3</v>
      </c>
      <c r="AB34" s="44">
        <v>4</v>
      </c>
      <c r="AC34" s="42">
        <v>5</v>
      </c>
      <c r="AD34" s="42">
        <v>6</v>
      </c>
      <c r="AE34" s="41">
        <v>7</v>
      </c>
      <c r="AF34" s="14">
        <v>8</v>
      </c>
    </row>
    <row r="35" spans="2:32" ht="28.8" customHeight="1" thickBot="1" x14ac:dyDescent="0.4">
      <c r="B35" s="154" t="s">
        <v>32</v>
      </c>
      <c r="C35" s="155"/>
      <c r="D35" s="155"/>
      <c r="E35" s="157" t="s">
        <v>38</v>
      </c>
      <c r="F35" s="157"/>
      <c r="G35" s="157"/>
      <c r="H35" s="155" t="s">
        <v>36</v>
      </c>
      <c r="I35" s="155"/>
      <c r="J35" s="156"/>
      <c r="K35" s="82"/>
      <c r="L35" s="89"/>
      <c r="M35" s="168" t="s">
        <v>51</v>
      </c>
      <c r="N35" s="169"/>
      <c r="O35" s="169"/>
      <c r="P35" s="170"/>
      <c r="R35" s="13">
        <v>12</v>
      </c>
      <c r="S35" s="31">
        <v>13</v>
      </c>
      <c r="T35" s="32">
        <v>14</v>
      </c>
      <c r="U35" s="32">
        <v>15</v>
      </c>
      <c r="V35" s="39">
        <v>16</v>
      </c>
      <c r="W35" s="39">
        <v>17</v>
      </c>
      <c r="X35" s="13">
        <v>18</v>
      </c>
      <c r="Y35" s="8"/>
      <c r="Z35" s="13">
        <v>9</v>
      </c>
      <c r="AA35" s="42">
        <v>10</v>
      </c>
      <c r="AB35" s="44">
        <v>11</v>
      </c>
      <c r="AC35" s="44">
        <v>12</v>
      </c>
      <c r="AD35" s="48">
        <v>13</v>
      </c>
      <c r="AE35" s="48">
        <v>14</v>
      </c>
      <c r="AF35" s="13">
        <v>15</v>
      </c>
    </row>
    <row r="36" spans="2:32" ht="25.2" customHeight="1" thickBot="1" x14ac:dyDescent="0.4">
      <c r="B36" s="158" t="s">
        <v>33</v>
      </c>
      <c r="C36" s="159"/>
      <c r="D36" s="159"/>
      <c r="E36" s="159" t="s">
        <v>49</v>
      </c>
      <c r="F36" s="159"/>
      <c r="G36" s="159"/>
      <c r="H36" s="160" t="s">
        <v>29</v>
      </c>
      <c r="I36" s="160"/>
      <c r="J36" s="161"/>
      <c r="K36" s="82"/>
      <c r="L36" s="131"/>
      <c r="M36" s="168" t="s">
        <v>43</v>
      </c>
      <c r="N36" s="169"/>
      <c r="O36" s="169"/>
      <c r="P36" s="170"/>
      <c r="R36" s="14">
        <v>19</v>
      </c>
      <c r="S36" s="34">
        <v>20</v>
      </c>
      <c r="T36" s="34">
        <v>21</v>
      </c>
      <c r="U36" s="33">
        <v>22</v>
      </c>
      <c r="V36" s="79">
        <v>23</v>
      </c>
      <c r="W36" s="62">
        <v>24</v>
      </c>
      <c r="X36" s="13">
        <v>25</v>
      </c>
      <c r="Y36" s="8"/>
      <c r="Z36" s="14">
        <v>16</v>
      </c>
      <c r="AA36" s="41">
        <v>17</v>
      </c>
      <c r="AB36" s="41">
        <v>18</v>
      </c>
      <c r="AC36" s="42">
        <v>19</v>
      </c>
      <c r="AD36" s="43">
        <v>20</v>
      </c>
      <c r="AE36" s="42">
        <v>21</v>
      </c>
      <c r="AF36" s="13">
        <v>22</v>
      </c>
    </row>
    <row r="37" spans="2:32" ht="28.8" customHeight="1" x14ac:dyDescent="0.35">
      <c r="B37" s="51"/>
      <c r="C37" s="51"/>
      <c r="D37" s="51"/>
      <c r="E37" s="51"/>
      <c r="F37" s="51"/>
      <c r="G37" s="51"/>
      <c r="K37" s="82"/>
      <c r="L37" s="88"/>
      <c r="M37" s="57"/>
      <c r="N37" s="57"/>
      <c r="O37" s="57"/>
      <c r="P37" s="57"/>
      <c r="R37" s="36">
        <v>26</v>
      </c>
      <c r="S37" s="36">
        <v>27</v>
      </c>
      <c r="T37" s="45">
        <v>28</v>
      </c>
      <c r="U37" s="45">
        <v>29</v>
      </c>
      <c r="V37" s="45">
        <v>30</v>
      </c>
      <c r="W37" s="50">
        <v>31</v>
      </c>
      <c r="X37" s="16" t="str">
        <f>IF(DAY(JanSun1)=1,IF(AND(YEAR(JanSun1+28)=CalendarYear,MONTH(JanSun1+28)=1),JanSun1+28,""),IF(AND(YEAR(JanSun1+35)=CalendarYear,MONTH(JanSun1+35)=1),JanSun1+35,""))</f>
        <v/>
      </c>
      <c r="Y37" s="8"/>
      <c r="Z37" s="12">
        <v>23</v>
      </c>
      <c r="AA37" s="44">
        <v>24</v>
      </c>
      <c r="AB37" s="45">
        <v>25</v>
      </c>
      <c r="AC37" s="45">
        <v>26</v>
      </c>
      <c r="AD37" s="45">
        <v>27</v>
      </c>
      <c r="AE37" s="50">
        <v>28</v>
      </c>
      <c r="AF37" s="16"/>
    </row>
    <row r="38" spans="2:32" ht="14.4" customHeight="1" x14ac:dyDescent="0.35">
      <c r="R38" s="148" t="s">
        <v>45</v>
      </c>
      <c r="S38" s="148"/>
      <c r="T38" s="148"/>
      <c r="U38" s="148"/>
      <c r="V38" s="148"/>
      <c r="W38" s="148"/>
      <c r="X38" s="148"/>
      <c r="Y38" s="8"/>
    </row>
    <row r="39" spans="2:32" ht="26.1" customHeight="1" x14ac:dyDescent="0.35">
      <c r="G39"/>
      <c r="H39"/>
      <c r="I39"/>
      <c r="J39"/>
      <c r="K39"/>
    </row>
    <row r="40" spans="2:32" ht="26.1" customHeight="1" x14ac:dyDescent="0.35">
      <c r="G40"/>
      <c r="H40"/>
      <c r="T40" s="88"/>
      <c r="U40" s="101"/>
      <c r="V40" s="101"/>
    </row>
    <row r="41" spans="2:32" ht="26.1" customHeight="1" x14ac:dyDescent="0.35">
      <c r="G41"/>
      <c r="H41"/>
      <c r="T41" s="88"/>
      <c r="U41" s="101"/>
      <c r="V41" s="101"/>
    </row>
    <row r="42" spans="2:32" ht="26.1" customHeight="1" x14ac:dyDescent="0.35">
      <c r="G42" s="81"/>
      <c r="H42" s="59"/>
      <c r="T42" s="88"/>
      <c r="U42" s="101"/>
      <c r="V42" s="101"/>
    </row>
    <row r="43" spans="2:32" ht="26.1" customHeight="1" x14ac:dyDescent="0.35">
      <c r="G43" s="81"/>
    </row>
    <row r="44" spans="2:32" ht="26.1" customHeight="1" x14ac:dyDescent="0.35">
      <c r="G44" s="58"/>
      <c r="H44"/>
      <c r="I44"/>
      <c r="J44"/>
      <c r="K44"/>
      <c r="L44"/>
      <c r="M44"/>
      <c r="N44"/>
    </row>
    <row r="45" spans="2:32" ht="26.1" customHeight="1" x14ac:dyDescent="0.35">
      <c r="I45"/>
      <c r="J45"/>
      <c r="K45"/>
      <c r="L45"/>
      <c r="M45"/>
      <c r="N45"/>
    </row>
    <row r="46" spans="2:32" ht="26.1" customHeight="1" x14ac:dyDescent="0.35">
      <c r="I46"/>
      <c r="J46" s="57"/>
      <c r="K46" s="57"/>
      <c r="L46" s="57"/>
      <c r="M46" s="57"/>
      <c r="N46"/>
    </row>
    <row r="47" spans="2:32" ht="26.1" customHeight="1" x14ac:dyDescent="0.35">
      <c r="J47"/>
      <c r="K47"/>
      <c r="L47"/>
      <c r="M47"/>
      <c r="N47"/>
    </row>
    <row r="48" spans="2:32" ht="26.1" customHeight="1" x14ac:dyDescent="0.35">
      <c r="I48"/>
      <c r="J48"/>
      <c r="K48"/>
      <c r="L48"/>
      <c r="M48"/>
      <c r="N48"/>
    </row>
  </sheetData>
  <mergeCells count="51">
    <mergeCell ref="B3:E3"/>
    <mergeCell ref="Y3:AC3"/>
    <mergeCell ref="O3:P3"/>
    <mergeCell ref="K3:L3"/>
    <mergeCell ref="F3:I3"/>
    <mergeCell ref="L31:P31"/>
    <mergeCell ref="M32:P32"/>
    <mergeCell ref="Z29:AE29"/>
    <mergeCell ref="R29:X29"/>
    <mergeCell ref="R38:X38"/>
    <mergeCell ref="Z12:AD12"/>
    <mergeCell ref="H36:J36"/>
    <mergeCell ref="B32:J32"/>
    <mergeCell ref="E33:G33"/>
    <mergeCell ref="H35:J35"/>
    <mergeCell ref="E35:G35"/>
    <mergeCell ref="U40:V40"/>
    <mergeCell ref="S3:V3"/>
    <mergeCell ref="B33:D33"/>
    <mergeCell ref="B37:D37"/>
    <mergeCell ref="B35:D35"/>
    <mergeCell ref="B36:D36"/>
    <mergeCell ref="E34:G34"/>
    <mergeCell ref="H33:J33"/>
    <mergeCell ref="E37:G37"/>
    <mergeCell ref="E36:G36"/>
    <mergeCell ref="H34:J34"/>
    <mergeCell ref="Z31:AF31"/>
    <mergeCell ref="R31:X31"/>
    <mergeCell ref="U41:V41"/>
    <mergeCell ref="U42:V42"/>
    <mergeCell ref="M37:P37"/>
    <mergeCell ref="M34:P34"/>
    <mergeCell ref="M33:P33"/>
    <mergeCell ref="J46:M46"/>
    <mergeCell ref="M35:P35"/>
    <mergeCell ref="M36:P36"/>
    <mergeCell ref="B34:D34"/>
    <mergeCell ref="AC1:AF1"/>
    <mergeCell ref="Z22:AF22"/>
    <mergeCell ref="B5:H5"/>
    <mergeCell ref="J5:P5"/>
    <mergeCell ref="R5:X5"/>
    <mergeCell ref="Z5:AF5"/>
    <mergeCell ref="B14:H14"/>
    <mergeCell ref="J14:P14"/>
    <mergeCell ref="R14:X14"/>
    <mergeCell ref="Z14:AF14"/>
    <mergeCell ref="B22:H22"/>
    <mergeCell ref="J22:P22"/>
    <mergeCell ref="R22:X22"/>
  </mergeCells>
  <phoneticPr fontId="1" type="noConversion"/>
  <conditionalFormatting sqref="J3 N3">
    <cfRule type="expression" dxfId="18" priority="37">
      <formula>K3=""</formula>
    </cfRule>
  </conditionalFormatting>
  <conditionalFormatting sqref="J16:P20 R16:X16 Z16:AF20 J24:P28 R24:X27 Z24:AF28 B7:H11 B16:H17 B24:H24 R7:X11 J7:P11 B19:H20 B18:D18 F18:H18 B26:H28 B25:D25 F25:H25 R18:X20 R17:W17 Z7:AF11 R28:W28">
    <cfRule type="expression" dxfId="17" priority="34" stopIfTrue="1">
      <formula>NOT(ISNUMBER(B7))</formula>
    </cfRule>
    <cfRule type="expression" priority="38" stopIfTrue="1">
      <formula>B7&lt;Pattern_Start</formula>
    </cfRule>
    <cfRule type="expression" dxfId="16" priority="39" stopIfTrue="1">
      <formula>MID(Shift_Pattern,MOD(B7-Pattern_Start,LEN(Shift_Pattern))+1,1)=Shift1_Code</formula>
    </cfRule>
    <cfRule type="expression" dxfId="15" priority="40" stopIfTrue="1">
      <formula>MID(Shift_Pattern,MOD(B7-Pattern_Start,LEN(Shift_Pattern))+1,1)=Shift2_Code</formula>
    </cfRule>
    <cfRule type="expression" dxfId="14" priority="41">
      <formula>MID(Shift_Pattern,MOD(B7-Pattern_Start,LEN(Shift_Pattern))+1,1)=Shift3_Code</formula>
    </cfRule>
  </conditionalFormatting>
  <conditionalFormatting sqref="F3">
    <cfRule type="expression" dxfId="13" priority="43">
      <formula>#REF!=""</formula>
    </cfRule>
  </conditionalFormatting>
  <conditionalFormatting sqref="R33:X37 Z33:AF37">
    <cfRule type="expression" dxfId="12" priority="12" stopIfTrue="1">
      <formula>NOT(ISNUMBER(R33))</formula>
    </cfRule>
    <cfRule type="expression" priority="13" stopIfTrue="1">
      <formula>R33&lt;Pattern_Start</formula>
    </cfRule>
    <cfRule type="expression" dxfId="11" priority="14" stopIfTrue="1">
      <formula>MID(new,MOD(R33-Pattern_Start,LEN(new))+1,1)=Shift1_Code</formula>
    </cfRule>
    <cfRule type="expression" dxfId="10" priority="15" stopIfTrue="1">
      <formula>MID(new,MOD(R33-Pattern_Start,LEN(new))+1,1)=Shift2_Code</formula>
    </cfRule>
    <cfRule type="expression" dxfId="9" priority="16">
      <formula>MID(new,MOD(R33-Pattern_Start,LEN(new))+1,1)=Shift3_Code</formula>
    </cfRule>
  </conditionalFormatting>
  <dataValidations count="3">
    <dataValidation allowBlank="1" showInputMessage="1" showErrorMessage="1" promptTitle="Shift Work Calendar" prompt="Use the spin buttons to change the calendar year. _x000a__x000a_Calendar automatically shows the shift schedule for each date. Setup the shift details and pattern from the Shift Pattern tab." sqref="A1" xr:uid="{00000000-0002-0000-0000-000000000000}"/>
    <dataValidation allowBlank="1" showInputMessage="1" showErrorMessage="1" prompt="Use the spin buttons to quickly change the calendar year" sqref="AC1:AF1" xr:uid="{00000000-0002-0000-0000-000001000000}"/>
    <dataValidation allowBlank="1" showInputMessage="1" showErrorMessage="1" prompt="To update the time of shift, go to the Shift Pattern Tab" sqref="O3 K3" xr:uid="{A7D2BF4A-2C8E-482E-AB09-B6D40CC25661}"/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0" orientation="landscape" r:id="rId1"/>
  <headerFooter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27</xdr:col>
                    <xdr:colOff>403860</xdr:colOff>
                    <xdr:row>0</xdr:row>
                    <xdr:rowOff>342900</xdr:rowOff>
                  </from>
                  <to>
                    <xdr:col>28</xdr:col>
                    <xdr:colOff>144780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  <Background xmlns="71af3243-3dd4-4a8d-8c0d-dd76da1f02a5">false</Background>
  </documentManagement>
</p:properties>
</file>

<file path=customXml/itemProps1.xml><?xml version="1.0" encoding="utf-8"?>
<ds:datastoreItem xmlns:ds="http://schemas.openxmlformats.org/officeDocument/2006/customXml" ds:itemID="{3F8CC1E4-2F3C-47CE-AEE0-FCEE8C5FB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A06DDC-CCCD-4339-A715-4E2FF1EAB7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0AA01-BB81-40D6-A942-218AA32E8C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TM22790064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RI Calendar_CREP-SC 2024</vt:lpstr>
      <vt:lpstr>CalendarYear</vt:lpstr>
      <vt:lpstr>'RI Calendar_CREP-SC 2024'!Print_Area</vt:lpstr>
      <vt:lpstr>Range_Days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2020-10-19T18:13:58Z</dcterms:created>
  <dcterms:modified xsi:type="dcterms:W3CDTF">2024-01-30T04:34:08Z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